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T/IU7oe5dlwhNyxzpVrURlwwdBMgLrow06yuBCZlLN5NwFp3mz7EugQb0+eEPUNjDlYwdo4/sK+4LGdh96pTPA==" workbookSaltValue="lyreATJfR58Ya3xSb0sa1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L17" i="2" s="1"/>
  <c r="K16" i="2"/>
  <c r="K13" i="2"/>
  <c r="K12" i="2"/>
  <c r="K11" i="2"/>
  <c r="K10" i="2"/>
  <c r="K9" i="2"/>
  <c r="L9" i="2" s="1"/>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AP17" i="20"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R22" i="14" s="1"/>
  <c r="P21" i="14"/>
  <c r="P20" i="14"/>
  <c r="P19" i="14"/>
  <c r="P18" i="14"/>
  <c r="R18" i="14" s="1"/>
  <c r="P17" i="14"/>
  <c r="P16" i="14"/>
  <c r="P12" i="14"/>
  <c r="P11" i="14"/>
  <c r="R11" i="14" s="1"/>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BH9" i="16"/>
  <c r="V16" i="11"/>
  <c r="BF13" i="11"/>
  <c r="BG25" i="11"/>
  <c r="BH16" i="16"/>
  <c r="Q18" i="20"/>
  <c r="Q23" i="20" s="1"/>
  <c r="BF28" i="11"/>
  <c r="BF18" i="11"/>
  <c r="BG20" i="11"/>
  <c r="BG22" i="11"/>
  <c r="BK29" i="11"/>
  <c r="AZ19" i="11"/>
  <c r="S14" i="16"/>
  <c r="V12" i="21"/>
  <c r="P14" i="16"/>
  <c r="F13" i="16"/>
  <c r="Z14" i="17"/>
  <c r="R30" i="17"/>
  <c r="K30" i="2"/>
  <c r="F30" i="17"/>
  <c r="F26" i="17"/>
  <c r="F14" i="7"/>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D9" i="8"/>
  <c r="X12" i="17"/>
  <c r="L10" i="2"/>
  <c r="L22" i="2"/>
  <c r="L28" i="2"/>
  <c r="X22" i="16"/>
  <c r="X21" i="20"/>
  <c r="S16" i="17"/>
  <c r="AH14" i="16"/>
  <c r="S17" i="17"/>
  <c r="L16" i="2"/>
  <c r="L12" i="2"/>
  <c r="X19" i="16"/>
  <c r="L18" i="2"/>
  <c r="X10" i="21"/>
  <c r="AO14" i="21"/>
  <c r="L20" i="2"/>
  <c r="X16" i="16"/>
  <c r="X23" i="16" s="1"/>
  <c r="U9" i="17"/>
  <c r="U31" i="17" s="1"/>
  <c r="AA11" i="16"/>
  <c r="V10" i="16"/>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R32" i="20"/>
  <c r="AJ32" i="20"/>
  <c r="G30" i="14"/>
  <c r="G23" i="14"/>
  <c r="U18" i="11"/>
  <c r="AX32" i="20"/>
  <c r="Y32" i="20"/>
  <c r="L32" i="20"/>
  <c r="AG32" i="20"/>
  <c r="H32" i="20"/>
  <c r="T32" i="21"/>
  <c r="F32" i="20"/>
  <c r="AF32" i="20"/>
  <c r="G26" i="14"/>
  <c r="S32" i="20"/>
  <c r="K32" i="20"/>
  <c r="AQ32" i="21"/>
  <c r="O17" i="11"/>
  <c r="O18" i="11"/>
  <c r="W32" i="20"/>
  <c r="BF17" i="8" l="1"/>
  <c r="M23" i="2"/>
  <c r="H28" i="2"/>
  <c r="BK21" i="11"/>
  <c r="BL12" i="11"/>
  <c r="BF10" i="11"/>
  <c r="BF17" i="11"/>
  <c r="V25" i="11"/>
  <c r="BF21" i="11"/>
  <c r="V11" i="16"/>
  <c r="BM17" i="11"/>
  <c r="BG10" i="11"/>
  <c r="BJ18" i="11"/>
  <c r="BJ22" i="11"/>
  <c r="BL19" i="1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R13" i="17"/>
  <c r="S13" i="17" s="1"/>
  <c r="P13" i="14"/>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<sst xmlns="http://schemas.openxmlformats.org/spreadsheetml/2006/main" count="2682" uniqueCount="1193">
  <si>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</si>
  <si>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</si>
  <si>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</si>
  <si>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</si>
  <si>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</si>
  <si>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</si>
  <si>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</si>
  <si>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</si>
  <si>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</si>
  <si>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</si>
  <si>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</si>
  <si>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</si>
  <si>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</si>
  <si>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</si>
  <si>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</si>
  <si>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</si>
  <si>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</si>
  <si>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</si>
  <si>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</si>
  <si>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</si>
  <si>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</si>
  <si>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</si>
  <si>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</si>
  <si>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</si>
  <si>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</si>
  <si>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</si>
  <si>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</si>
  <si>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</si>
  <si>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</si>
  <si>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</si>
  <si>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</si>
  <si>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</si>
  <si>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</si>
  <si>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</si>
  <si>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</si>
  <si>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</si>
  <si>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</si>
  <si>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</si>
  <si>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</si>
  <si>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</si>
  <si>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</si>
  <si>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</si>
  <si>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</si>
  <si>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</si>
  <si>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</si>
  <si>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</si>
  <si>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</si>
  <si>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</si>
  <si>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</si>
  <si>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</si>
  <si>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</si>
  <si>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</si>
  <si>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</si>
  <si>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</si>
  <si>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</si>
  <si>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</si>
  <si>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</si>
  <si>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</si>
  <si>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</si>
  <si>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</si>
  <si>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</si>
  <si>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</si>
  <si>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</si>
  <si>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</si>
  <si>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</si>
  <si>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</si>
  <si>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</si>
  <si>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</si>
  <si>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</si>
  <si>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</si>
  <si>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</si>
  <si>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</si>
  <si>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</si>
  <si>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</si>
  <si>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</si>
  <si>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</si>
  <si>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</si>
  <si>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</si>
  <si>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</si>
  <si>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</si>
  <si>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</si>
  <si>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</si>
  <si>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</si>
  <si>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</si>
  <si>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</si>
  <si>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</si>
  <si>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</si>
  <si>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</si>
  <si>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</si>
  <si>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</si>
  <si>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</si>
  <si>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</si>
  <si>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</si>
  <si>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</si>
  <si>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</si>
  <si>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</si>
  <si>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</si>
  <si>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</si>
  <si>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</si>
  <si>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</si>
  <si>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</si>
  <si>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</si>
  <si>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</si>
  <si>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</si>
  <si>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</si>
  <si>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</si>
  <si>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</si>
  <si>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</si>
  <si>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</si>
  <si>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</si>
  <si>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</si>
  <si>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</si>
  <si>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</si>
  <si>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</si>
  <si>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</si>
  <si>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</si>
  <si>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</si>
  <si>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</si>
  <si>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</si>
  <si>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</si>
  <si>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</si>
  <si>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</si>
  <si>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</si>
  <si>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</si>
  <si>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</si>
  <si>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</si>
  <si>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</si>
  <si>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</si>
  <si>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</si>
  <si>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</si>
  <si>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</si>
  <si>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</si>
  <si>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</si>
  <si>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</si>
  <si>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</si>
  <si>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</si>
  <si>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</si>
  <si>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</si>
  <si>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</si>
  <si>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</si>
  <si>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</si>
  <si>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</si>
  <si>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</si>
  <si>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</si>
  <si>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</si>
  <si>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</si>
  <si>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</si>
  <si>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</si>
  <si>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</si>
  <si>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</si>
  <si>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</si>
  <si>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</si>
  <si>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</si>
  <si>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</si>
  <si>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</si>
  <si>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</si>
  <si>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</si>
  <si>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</si>
  <si>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</si>
  <si>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</si>
  <si>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</si>
  <si>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</si>
  <si>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</si>
  <si>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</si>
  <si>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</si>
  <si>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</si>
  <si>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</si>
  <si>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</si>
  <si>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</si>
  <si>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</si>
  <si>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</si>
  <si>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</si>
  <si>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</si>
  <si>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</si>
  <si>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</si>
  <si>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</si>
  <si>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</si>
  <si>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</si>
  <si>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</si>
  <si>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</si>
  <si>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</si>
  <si>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</si>
  <si>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</si>
  <si>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</si>
  <si>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</si>
  <si>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</si>
  <si>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</si>
  <si>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</si>
  <si>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</si>
  <si>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</si>
  <si>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</si>
  <si>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</si>
  <si>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</si>
  <si>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</si>
  <si>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</si>
  <si>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</si>
  <si>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</si>
  <si>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</si>
  <si>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</si>
  <si>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</si>
  <si>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</si>
  <si>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</si>
  <si>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</si>
  <si>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</si>
  <si>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</si>
  <si>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</si>
  <si>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</si>
  <si>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</si>
  <si>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</si>
  <si>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</si>
  <si>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</si>
  <si>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</si>
  <si>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</si>
  <si>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</si>
  <si>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</si>
  <si>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</si>
  <si>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</si>
  <si>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</si>
  <si>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</si>
  <si>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</si>
  <si>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</si>
  <si>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</si>
  <si>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</si>
  <si>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</si>
  <si>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</si>
  <si>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</si>
  <si>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</si>
  <si>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</si>
  <si>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</si>
  <si>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</si>
  <si>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</si>
  <si>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</si>
  <si>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</si>
  <si>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</si>
  <si>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</si>
  <si>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</si>
  <si>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</si>
  <si>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</si>
  <si>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</si>
  <si>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</si>
  <si>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</si>
  <si>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</si>
  <si>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</si>
  <si>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</si>
  <si>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</si>
  <si>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</si>
  <si>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</si>
  <si>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</si>
  <si>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</si>
  <si>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</si>
  <si>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</si>
  <si>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</si>
  <si>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</si>
  <si>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</si>
  <si>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</si>
  <si>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</si>
  <si>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</si>
  <si>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</si>
  <si>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</si>
  <si>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</si>
  <si>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</si>
  <si>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</si>
  <si>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</si>
  <si>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</si>
  <si>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</si>
  <si>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</si>
  <si>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</si>
  <si>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</si>
  <si>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</si>
  <si>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</si>
  <si>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</si>
  <si>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</si>
  <si>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</si>
  <si>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</si>
  <si>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</si>
  <si>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</si>
  <si>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</si>
  <si>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</si>
  <si>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</si>
  <si>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</si>
  <si>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</si>
  <si>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</si>
  <si>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</si>
  <si>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</si>
  <si>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</si>
  <si>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</si>
  <si>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</si>
  <si>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</si>
  <si>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</si>
  <si>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</si>
  <si>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</si>
  <si>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</si>
  <si>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</si>
  <si>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</si>
  <si>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</si>
  <si>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</si>
  <si>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</si>
  <si>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</si>
  <si>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</si>
  <si>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</si>
  <si>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</si>
  <si>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</si>
  <si>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</si>
  <si>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</si>
  <si>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</si>
  <si>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</si>
  <si>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</si>
  <si>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</si>
  <si>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</si>
  <si>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</si>
  <si>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</si>
  <si>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</si>
  <si>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</si>
  <si>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</si>
  <si>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</si>
  <si>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</si>
  <si>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</si>
  <si>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</si>
  <si>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</si>
  <si>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</si>
  <si>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</si>
  <si>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</si>
  <si>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</si>
  <si>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</si>
  <si>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</si>
  <si>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</si>
  <si>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</si>
  <si>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</si>
  <si>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</si>
  <si>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</si>
  <si>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</si>
  <si>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</si>
  <si>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</si>
  <si>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</si>
  <si>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</si>
  <si>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</si>
  <si>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</si>
  <si>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</si>
  <si>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</si>
  <si>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</si>
  <si>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</si>
  <si>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</si>
  <si>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</si>
  <si>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</si>
  <si>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</si>
  <si>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</si>
  <si>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</si>
  <si>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</si>
  <si>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</si>
  <si>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</si>
  <si>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</si>
  <si>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</si>
  <si>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</si>
  <si>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</si>
  <si>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</si>
  <si>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</si>
  <si>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</si>
  <si>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</si>
  <si>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</si>
  <si>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</si>
  <si>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</si>
  <si>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</si>
  <si>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</si>
  <si>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</si>
  <si>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</si>
  <si>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</si>
  <si>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</si>
  <si>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</si>
  <si>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</si>
  <si>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</si>
  <si>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</si>
  <si>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</si>
  <si>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</si>
  <si>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</si>
  <si>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</si>
  <si>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</si>
  <si>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</si>
  <si>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</si>
  <si>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</si>
  <si>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</si>
  <si>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</si>
  <si>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</si>
  <si>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</si>
  <si>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</si>
  <si>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</si>
  <si>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</si>
  <si>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</si>
  <si>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</si>
  <si>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</si>
  <si>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</si>
  <si>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</si>
  <si>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</si>
  <si>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</si>
  <si>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</si>
  <si>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</si>
  <si>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</si>
  <si>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</si>
  <si>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</si>
  <si>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</si>
  <si>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</si>
  <si>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</si>
  <si>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</si>
  <si>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</si>
  <si>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</si>
  <si>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</si>
  <si>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</si>
  <si>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</si>
  <si>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</si>
  <si>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</si>
  <si>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</si>
  <si>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</si>
  <si>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</si>
  <si>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</si>
  <si>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</si>
  <si>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</si>
  <si>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</si>
  <si>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</si>
  <si>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</si>
  <si>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</si>
  <si>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</si>
  <si>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</si>
  <si>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</si>
  <si>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</si>
  <si>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</si>
  <si>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</si>
  <si>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</si>
  <si>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</si>
  <si>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</si>
  <si>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</si>
  <si>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</si>
  <si>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</si>
  <si>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</si>
  <si>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</si>
  <si>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</si>
  <si>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</si>
  <si>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</si>
  <si>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</si>
  <si>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</si>
  <si>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</si>
  <si>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</si>
  <si>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</si>
  <si>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</si>
  <si>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</si>
  <si>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</si>
  <si>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</si>
  <si>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</si>
  <si>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</si>
  <si>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</si>
  <si>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</si>
  <si>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</si>
  <si>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</si>
  <si>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</si>
  <si>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</si>
  <si>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</si>
  <si>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</si>
  <si>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</si>
  <si>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</si>
  <si>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</si>
  <si>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</si>
  <si>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</si>
  <si>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</si>
  <si>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</si>
  <si>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</si>
  <si>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</si>
  <si>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</si>
  <si>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</si>
  <si>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</si>
  <si>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</si>
  <si>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</si>
  <si>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</si>
  <si>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</si>
  <si>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</si>
  <si>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</si>
  <si>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</si>
  <si>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</si>
  <si>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</si>
  <si>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</si>
  <si>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</si>
  <si>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</si>
  <si>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</si>
  <si>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</si>
  <si>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</si>
  <si>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</si>
  <si>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</si>
  <si>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</si>
  <si>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</si>
  <si>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</si>
  <si>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</si>
  <si>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</si>
  <si>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</si>
  <si>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</si>
  <si>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</si>
  <si>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</si>
  <si>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</si>
  <si>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</si>
  <si>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</si>
  <si>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</si>
  <si>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</si>
  <si>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</si>
  <si>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</si>
  <si>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</si>
  <si>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</si>
  <si>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</si>
  <si>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</si>
  <si>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</si>
  <si>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</si>
  <si>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</si>
  <si>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</si>
  <si>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</si>
  <si>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</si>
  <si>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</si>
  <si>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</si>
  <si>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</si>
  <si>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</si>
  <si>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</si>
  <si>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</si>
  <si>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</si>
  <si>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</si>
  <si>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</si>
  <si>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</si>
  <si>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</si>
  <si>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</si>
  <si>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</si>
  <si>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</si>
  <si>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</si>
  <si>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</si>
  <si>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</si>
  <si>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</si>
  <si>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</si>
  <si>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</si>
  <si>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</si>
  <si>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</si>
  <si>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</si>
  <si>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</si>
  <si>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</si>
  <si>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</si>
  <si>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</si>
  <si>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</si>
  <si>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</si>
  <si>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</si>
  <si>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</si>
  <si>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</si>
  <si>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</si>
  <si>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</si>
  <si>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</si>
  <si>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</si>
  <si>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</si>
  <si>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</si>
  <si>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</si>
  <si>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</si>
  <si>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</si>
  <si>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</si>
  <si>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</si>
  <si>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</si>
  <si>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</si>
  <si>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</si>
  <si>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</si>
  <si>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</si>
  <si>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</si>
  <si>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</si>
  <si>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</si>
  <si>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</si>
  <si>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</si>
  <si>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</si>
  <si>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</si>
  <si>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</si>
  <si>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</si>
  <si>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</si>
  <si>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</si>
  <si>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</si>
  <si>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</si>
  <si>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</si>
  <si>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</si>
  <si>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</si>
  <si>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</si>
  <si>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</si>
  <si>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</si>
  <si>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</si>
  <si>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</si>
  <si>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</si>
  <si>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</si>
  <si>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</si>
  <si>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</si>
  <si>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</si>
  <si>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</si>
  <si>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</si>
  <si>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</si>
  <si>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</si>
  <si>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</si>
  <si>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</si>
  <si>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</si>
  <si>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</si>
  <si>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</si>
  <si>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</si>
  <si>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</si>
  <si>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</si>
  <si>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</si>
  <si>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</si>
  <si>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</si>
  <si>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</si>
  <si>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</si>
  <si>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</si>
  <si>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</si>
  <si>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</si>
  <si>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</si>
  <si>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</si>
  <si>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</si>
  <si>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</si>
  <si>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</si>
  <si>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</si>
  <si>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</si>
  <si>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</si>
  <si>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</si>
  <si>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</si>
  <si>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</si>
  <si>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</si>
  <si>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</si>
  <si>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</si>
  <si>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</si>
  <si>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</si>
  <si>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</si>
  <si>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</si>
  <si>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</si>
  <si>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</si>
  <si>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</si>
  <si>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</si>
  <si>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</si>
  <si>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</si>
  <si>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</si>
  <si>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</si>
  <si>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</si>
  <si>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</si>
  <si>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</si>
  <si>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</si>
  <si>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</si>
  <si>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</si>
  <si>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</si>
  <si>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</si>
  <si>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</si>
  <si>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</si>
  <si>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</si>
  <si>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</si>
  <si>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</si>
  <si>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</si>
  <si>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</si>
  <si>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</si>
  <si>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</si>
  <si>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</si>
  <si>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</si>
  <si>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</si>
  <si>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</si>
  <si>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</si>
  <si>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</si>
  <si>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</si>
  <si>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</si>
  <si>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</si>
  <si>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</si>
  <si>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</si>
  <si>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</si>
  <si>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</si>
  <si>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</si>
  <si>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</si>
  <si>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</si>
  <si>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</si>
  <si>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</si>
  <si>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</si>
  <si>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</si>
  <si>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</si>
  <si>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</si>
  <si>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</si>
  <si>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</si>
  <si>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</si>
  <si>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</si>
  <si>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</si>
  <si>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</si>
  <si>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</si>
  <si>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</si>
  <si>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</si>
  <si>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</si>
  <si>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</si>
  <si>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</si>
  <si>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</si>
  <si>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</si>
  <si>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</si>
  <si>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</si>
  <si>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</si>
  <si>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</si>
  <si>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</si>
  <si>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</si>
  <si>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</si>
  <si>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</si>
  <si>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</si>
  <si>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</si>
  <si>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</si>
  <si>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</si>
  <si>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</si>
  <si>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</si>
  <si>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</si>
  <si>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</si>
  <si>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</si>
  <si>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</si>
  <si>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</si>
  <si>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</si>
  <si>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</si>
  <si>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</si>
  <si>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</si>
  <si>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</si>
  <si>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</si>
  <si>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</si>
  <si>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</si>
  <si>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</si>
  <si>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</si>
  <si>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</si>
  <si>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</si>
  <si>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</si>
  <si>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</si>
  <si>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</si>
  <si>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</si>
  <si>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</si>
  <si>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</si>
  <si>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</si>
  <si>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</si>
  <si>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</si>
  <si>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</si>
  <si>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</si>
  <si>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</si>
  <si>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</si>
  <si>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</si>
  <si>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</si>
  <si>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</si>
  <si>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</si>
  <si>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</si>
  <si>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</si>
  <si>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</si>
  <si>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</si>
  <si>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</si>
  <si>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</si>
  <si>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</si>
  <si>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</si>
  <si>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</si>
  <si>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</si>
  <si>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</si>
  <si>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</si>
  <si>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</si>
  <si>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</si>
  <si>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</si>
  <si>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</si>
  <si>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</si>
  <si>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</si>
  <si>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</si>
  <si>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</si>
  <si>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</si>
  <si>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</si>
  <si>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</si>
  <si>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</si>
  <si>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</si>
  <si>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</si>
  <si>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</si>
  <si>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</si>
  <si>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</si>
  <si>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</si>
  <si>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</si>
  <si>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</si>
  <si>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</si>
  <si>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</si>
  <si>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</si>
  <si>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</si>
  <si>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</si>
  <si>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</si>
  <si>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</si>
  <si>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</si>
  <si>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</si>
  <si>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</si>
  <si>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</si>
  <si>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</si>
  <si>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</si>
  <si>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</si>
  <si>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</si>
  <si>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</si>
  <si>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</si>
  <si>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</si>
  <si>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</si>
  <si>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</si>
  <si>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</si>
  <si>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</si>
  <si>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</si>
  <si>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</si>
  <si>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</si>
  <si>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</si>
  <si>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</si>
  <si>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</si>
  <si>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</si>
  <si>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</si>
  <si>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</si>
  <si>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</si>
  <si>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</si>
  <si>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</si>
  <si>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</si>
  <si>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</si>
  <si>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</si>
  <si>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</si>
  <si>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</si>
  <si>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</si>
  <si>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</si>
  <si>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</si>
  <si>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</si>
  <si>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</si>
  <si>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</si>
  <si>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</si>
  <si>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</si>
  <si>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</si>
  <si>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</si>
  <si>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</si>
  <si>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</si>
  <si>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</si>
  <si>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</si>
  <si>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</si>
  <si>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</si>
  <si>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</si>
  <si>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</si>
  <si>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</si>
  <si>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</si>
  <si>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</si>
  <si>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</si>
  <si>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</si>
  <si>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</si>
  <si>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</si>
  <si>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</si>
  <si>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</si>
  <si>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</si>
  <si>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</si>
  <si>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</si>
  <si>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</si>
  <si>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</si>
  <si>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</si>
  <si>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</si>
  <si>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</si>
  <si>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</si>
  <si>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</si>
  <si>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</si>
  <si>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</si>
  <si>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</si>
  <si>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</si>
  <si>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</si>
  <si>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</si>
  <si>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</si>
  <si>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</si>
  <si>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</si>
  <si>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</si>
  <si>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</si>
  <si>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</si>
  <si>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</si>
  <si>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</si>
  <si>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</si>
  <si>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</si>
  <si>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</si>
  <si>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</si>
  <si>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</si>
  <si>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</si>
  <si>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</si>
  <si>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</si>
  <si>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</si>
  <si>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</si>
  <si>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</si>
  <si>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</si>
  <si>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</si>
  <si>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</si>
  <si>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</si>
  <si>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</si>
  <si>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</si>
  <si>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</si>
  <si>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</si>
  <si>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</si>
  <si>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</si>
  <si>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</si>
  <si>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</si>
  <si>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</si>
  <si>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</si>
  <si>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</si>
  <si>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</si>
  <si>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</si>
  <si>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</si>
  <si>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</si>
  <si>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</si>
  <si>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</si>
  <si>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</si>
  <si>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</si>
  <si>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</si>
  <si>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</si>
  <si>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</si>
  <si>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</si>
  <si>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</si>
  <si>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</si>
  <si>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</si>
  <si>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</si>
  <si>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</si>
  <si>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</si>
  <si>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</si>
  <si>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</si>
  <si>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</si>
  <si>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</si>
  <si>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</si>
  <si>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</si>
  <si>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</si>
  <si>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</si>
  <si>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</si>
  <si>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</si>
  <si>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</si>
  <si>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</si>
  <si>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</si>
  <si>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</si>
  <si>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</si>
  <si>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</si>
  <si>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</si>
  <si>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</si>
  <si>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</si>
  <si>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</si>
  <si>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</si>
  <si>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</si>
  <si>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</si>
  <si>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</si>
  <si>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</si>
  <si>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</si>
  <si>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</si>
  <si>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</si>
  <si>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</si>
  <si>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</si>
  <si>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</si>
  <si>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</si>
  <si>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</si>
  <si>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</si>
  <si>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</si>
  <si>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</si>
  <si>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</si>
  <si>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</si>
  <si>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</si>
  <si>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</si>
  <si>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</si>
  <si>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</si>
  <si>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</si>
  <si>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</si>
  <si>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</si>
  <si>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</si>
  <si>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</si>
  <si>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</si>
  <si>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</si>
  <si>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</si>
  <si>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</si>
  <si>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</si>
  <si>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</si>
  <si>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</si>
  <si>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</si>
  <si>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</si>
  <si>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</si>
  <si>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</si>
  <si>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</si>
  <si>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</si>
  <si>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</si>
  <si>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</si>
  <si>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</si>
  <si>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</si>
  <si>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</si>
  <si>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</si>
  <si>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</si>
  <si>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</si>
  <si>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</si>
  <si>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</si>
  <si>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</si>
  <si>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</si>
  <si>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</si>
  <si>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</si>
  <si>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</si>
  <si>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</si>
  <si>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</si>
  <si>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</si>
  <si>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</si>
  <si>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</si>
  <si>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</si>
  <si>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</si>
  <si>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</si>
  <si>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</si>
  <si>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</si>
  <si>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</si>
  <si>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</si>
  <si>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</si>
  <si>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</si>
  <si>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</si>
  <si>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</si>
  <si>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</si>
  <si>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</si>
  <si>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</si>
  <si>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</si>
  <si>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</si>
  <si>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</si>
  <si>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</si>
  <si>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</si>
  <si>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</si>
  <si>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</si>
  <si>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</si>
  <si>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</si>
  <si>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</si>
  <si>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</si>
  <si>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</si>
  <si>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</si>
  <si>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</si>
  <si>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</si>
  <si>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</si>
  <si>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</si>
  <si>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</si>
  <si>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</si>
  <si>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</si>
  <si>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</si>
  <si>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</si>
  <si>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</si>
  <si>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</si>
  <si>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</si>
  <si>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</si>
  <si>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</si>
  <si>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</si>
  <si>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</si>
  <si>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</si>
  <si>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</si>
  <si>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</si>
  <si>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</si>
  <si>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</si>
  <si>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</si>
  <si>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</si>
  <si>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</si>
  <si>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</si>
  <si>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</si>
  <si>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</si>
  <si>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</si>
  <si>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</si>
  <si>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</si>
  <si>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</si>
  <si>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</si>
  <si>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</si>
  <si>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</si>
  <si>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</si>
  <si>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</si>
  <si>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</si>
  <si>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</si>
  <si>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</si>
  <si>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</si>
  <si>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</si>
  <si>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</si>
  <si>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</si>
  <si>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</si>
  <si>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</si>
  <si>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</si>
  <si>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</si>
  <si>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</si>
  <si>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</si>
  <si>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</si>
  <si>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</si>
  <si>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</si>
  <si>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</si>
  <si>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</si>
  <si>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</si>
  <si>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</si>
  <si>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</si>
  <si>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</si>
  <si>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</si>
  <si>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</si>
  <si>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</si>
  <si>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</si>
  <si>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</si>
  <si>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</si>
  <si>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</si>
  <si>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</si>
  <si>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</si>
  <si>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</si>
  <si>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</si>
  <si>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</si>
  <si>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</si>
  <si>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</si>
  <si>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</si>
  <si>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</si>
  <si>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</si>
  <si>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</si>
  <si>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</si>
  <si>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</si>
  <si>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</si>
  <si>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</si>
  <si>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</si>
  <si>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</si>
  <si>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</si>
  <si>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</si>
  <si>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</si>
  <si>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</si>
  <si>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</si>
  <si>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</si>
  <si>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</si>
  <si>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</si>
  <si>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</si>
  <si>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</si>
  <si>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</si>
  <si>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</si>
  <si>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</si>
  <si>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</si>
  <si>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</si>
  <si>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</si>
  <si>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</si>
  <si>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</si>
  <si>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</si>
  <si>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</si>
  <si>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</si>
  <si>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</si>
  <si>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</si>
  <si>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</si>
  <si>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</si>
  <si>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</si>
  <si>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</si>
  <si>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</si>
  <si>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</si>
  <si>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</si>
  <si>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</si>
  <si>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</si>
  <si>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</si>
  <si>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</si>
  <si>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</si>
  <si>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</si>
  <si>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</si>
  <si>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</si>
  <si>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</si>
  <si>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</si>
  <si>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</si>
  <si>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</si>
  <si>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</si>
  <si>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</si>
  <si>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</si>
  <si>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</si>
  <si>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</si>
  <si>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</si>
  <si>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</si>
  <si>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</si>
  <si>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</si>
  <si>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</si>
  <si>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</si>
  <si>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</si>
  <si>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</si>
  <si>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</si>
  <si>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</si>
  <si>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</si>
  <si>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</si>
  <si>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</si>
  <si>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</si>
  <si>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</si>
  <si>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</si>
  <si>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</si>
  <si>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</si>
  <si>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</si>
  <si>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</si>
  <si>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</si>
  <si>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</si>
  <si>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</si>
  <si>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</si>
  <si>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</si>
  <si>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</si>
  <si>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</si>
  <si>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</si>
  <si>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</si>
  <si>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</si>
  <si>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</si>
  <si>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</si>
  <si>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</si>
  <si>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</si>
  <si>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</si>
  <si>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</si>
  <si>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</si>
  <si>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</si>
  <si>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</si>
  <si>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</si>
  <si>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</si>
  <si>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</si>
  <si>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</si>
  <si>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</si>
  <si>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</si>
  <si>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</si>
  <si>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</si>
  <si>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</si>
  <si>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</si>
  <si>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</si>
  <si>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</si>
  <si>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</si>
  <si>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</si>
  <si>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</si>
  <si>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</si>
  <si>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</si>
  <si>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</si>
  <si>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MALAGA</t>
  </si>
  <si>
    <t>Resumenes por Partidos Judiciales</t>
  </si>
  <si>
    <t>RONDA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</si>
</sst>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5CElzIIlVJFMm/T5SxokkQVb2spSiWkC5H/QGT0bcqT2B1aNps9Yz/WrXxiSP/MVWNrGW5EMKJeyyGB+oXcFrA==" saltValue="yUBkIZ1sAmnYm5clxkbm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1</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27.679591836734694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610</v>
      </c>
      <c r="D17" s="239">
        <f>IF(ISNUMBER(IF(D_I="SI",Datos!I17,Datos!I17+Datos!AC17)),IF(D_I="SI",Datos!I17,Datos!I17+Datos!AC17)," - ")</f>
        <v>633</v>
      </c>
      <c r="E17" s="240">
        <f>IF(ISNUMBER(IF(D_I="SI",Datos!J17,Datos!J17+Datos!AD17)),IF(D_I="SI",Datos!J17,Datos!J17+Datos!AD17)," - ")</f>
        <v>573</v>
      </c>
      <c r="F17" s="240">
        <f>IF(ISNUMBER(IF(D_I="SI",Datos!K17,Datos!K17+Datos!AE17)),IF(D_I="SI",Datos!K17,Datos!K17+Datos!AE17)," - ")</f>
        <v>627</v>
      </c>
      <c r="G17" s="1390" t="str">
        <f>IF(Datos!E17&lt;&gt;"",Datos!E17,Datos!D17)</f>
        <v>04</v>
      </c>
      <c r="H17" s="241">
        <f>IF(ISNUMBER(IF(D_I="SI",Datos!L17,Datos!L17+Datos!AF17)),IF(D_I="SI",Datos!L17,Datos!L17+Datos!AF17)," - ")</f>
        <v>556</v>
      </c>
      <c r="I17" s="1400" t="str">
        <f>IF(ISNUMBER(Datos!AS17/Datos!BM17),Datos!AS17/Datos!BM17," - ")</f>
        <v xml:space="preserve"> - </v>
      </c>
      <c r="J17" s="1401">
        <f>IF(ISNUMBER(Datos!BY17/Datos!CN17),Datos!BY17/Datos!CN17," - ")</f>
        <v>0</v>
      </c>
      <c r="K17" s="244">
        <f t="shared" si="3"/>
        <v>-8.8524590163934422E-2</v>
      </c>
      <c r="L17" s="1402">
        <f>IF(ISNUMBER(NºAsuntos!I17/NºAsuntos!G17),(NºAsuntos!I17/NºAsuntos!G17)*11," - ")</f>
        <v>9.7543859649122808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v>
      </c>
      <c r="D18" s="239">
        <f>IF(ISNUMBER(IF(D_I="SI",Datos!I18,Datos!I18+Datos!AC18)),IF(D_I="SI",Datos!I18,Datos!I18+Datos!AC18)," - ")</f>
        <v>7</v>
      </c>
      <c r="E18" s="240">
        <f>IF(ISNUMBER(IF(D_I="SI",Datos!J18,Datos!J18+Datos!AD18)),IF(D_I="SI",Datos!J18,Datos!J18+Datos!AD18)," - ")</f>
        <v>34</v>
      </c>
      <c r="F18" s="240">
        <f>IF(ISNUMBER(IF(D_I="SI",Datos!K18,Datos!K18+Datos!AE18)),IF(D_I="SI",Datos!K18,Datos!K18+Datos!AE18)," - ")</f>
        <v>19</v>
      </c>
      <c r="G18" s="1390" t="str">
        <f>IF(Datos!E18&lt;&gt;"",Datos!E18,Datos!D18)</f>
        <v>37</v>
      </c>
      <c r="H18" s="241">
        <f>IF(ISNUMBER(IF(D_I="SI",Datos!L18,Datos!L18+Datos!AF18)),IF(D_I="SI",Datos!L18,Datos!L18+Datos!AF18)," - ")</f>
        <v>22</v>
      </c>
      <c r="I18" s="1400" t="str">
        <f>IF(ISNUMBER(Datos!AS18/Datos!BM18),Datos!AS18/Datos!BM18," - ")</f>
        <v xml:space="preserve"> - </v>
      </c>
      <c r="J18" s="1401" t="str">
        <f>IF(ISNUMBER((Datos!BY18+Datos!BZ18)/Datos!CN18),(Datos!BY18+Datos!BZ18)/Datos!CN18," - ")</f>
        <v xml:space="preserve"> - </v>
      </c>
      <c r="K18" s="244">
        <f t="shared" si="3"/>
        <v>2.1428571428571428</v>
      </c>
      <c r="L18" s="1402">
        <f>IF(ISNUMBER(NºAsuntos!I18/NºAsuntos!G18),(NºAsuntos!I18/NºAsuntos!G18)*11," - ")</f>
        <v>12.736842105263158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617</v>
      </c>
      <c r="D23" s="1407">
        <f>SUBTOTAL(9,D16:D22)</f>
        <v>640</v>
      </c>
      <c r="E23" s="1408">
        <f>SUBTOTAL(9,E16:E22)</f>
        <v>607</v>
      </c>
      <c r="F23" s="1408">
        <f>SUBTOTAL(9,F16:F22)</f>
        <v>646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617</v>
      </c>
      <c r="D31" s="1435">
        <f>SUBTOTAL(9,D9:D30)</f>
        <v>640</v>
      </c>
      <c r="E31" s="1436">
        <f>SUBTOTAL(9,E9:E30)</f>
        <v>608</v>
      </c>
      <c r="F31" s="1436">
        <f>SUBTOTAL(9,F9:F30)</f>
        <v>647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cr9UGE/t/fnrLfe7LEIkW29GZHVlXaeJFkWLJ4UTfcFp/MrFeoN4V9/WeRbob/Hb2yvr+BrQlJmRUrd2Dr8w==" saltValue="9OfIuYvg99vHS+8toADJC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ict8ObKg839gxrQrgPSwOtiJRaWr7npCZIp3UbF2sM8hj1g6F+/aBLR5Vvx2LHpwgzTiZAR9RPpqpacngPXpg==" saltValue="3jcEsHGT43z+aoV2rOWk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1</v>
      </c>
      <c r="L10" s="194">
        <v>0</v>
      </c>
      <c r="M10" s="194">
        <v>0</v>
      </c>
      <c r="N10" s="194">
        <v>0</v>
      </c>
      <c r="O10" s="194">
        <v>0</v>
      </c>
      <c r="P10" s="194">
        <v>0</v>
      </c>
      <c r="Q10" s="194">
        <v>0</v>
      </c>
      <c r="R10" s="194">
        <v>0</v>
      </c>
      <c r="S10" s="194">
        <v>0</v>
      </c>
      <c r="T10" s="194">
        <v>2</v>
      </c>
      <c r="U10" s="194">
        <v>2</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2</v>
      </c>
      <c r="BA10" s="139">
        <f t="shared" si="0"/>
        <v>2</v>
      </c>
      <c r="BB10" s="139">
        <f t="shared" si="0"/>
        <v>0</v>
      </c>
      <c r="BC10" s="135">
        <f t="shared" si="0"/>
        <v>0</v>
      </c>
      <c r="BD10" s="136">
        <f>IF(ISNUMBER(BA10/AZ10),BA10/AZ10," - ")</f>
        <v>1</v>
      </c>
      <c r="BE10" s="137">
        <f>IF(ISNUMBER(BB10/BA10),BB10/BA10, " - ")</f>
        <v>0</v>
      </c>
      <c r="BF10" s="137">
        <f>IF(ISNUMBER(BC10/BA10),BC10/BA10, " - ")</f>
        <v>0</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933</v>
      </c>
      <c r="J12" s="196">
        <v>459</v>
      </c>
      <c r="K12" s="196">
        <v>445</v>
      </c>
      <c r="L12" s="196">
        <v>1154</v>
      </c>
      <c r="M12" s="196">
        <v>96</v>
      </c>
      <c r="N12" s="196">
        <v>230</v>
      </c>
      <c r="O12" s="194">
        <v>229</v>
      </c>
      <c r="P12" s="196">
        <v>155</v>
      </c>
      <c r="Q12" s="196">
        <v>75</v>
      </c>
      <c r="R12" s="196">
        <v>1963</v>
      </c>
      <c r="S12" s="196">
        <v>933</v>
      </c>
      <c r="T12" s="196">
        <v>422</v>
      </c>
      <c r="U12" s="196">
        <v>480</v>
      </c>
      <c r="V12" s="196">
        <v>875</v>
      </c>
      <c r="W12" s="196">
        <v>134</v>
      </c>
      <c r="X12" s="202">
        <v>221</v>
      </c>
      <c r="Y12" s="204">
        <v>74</v>
      </c>
      <c r="Z12" s="194">
        <v>51</v>
      </c>
      <c r="AA12" s="194">
        <v>45</v>
      </c>
      <c r="AB12" s="194">
        <v>79</v>
      </c>
      <c r="AC12" s="196">
        <v>0</v>
      </c>
      <c r="AD12" s="196">
        <v>0</v>
      </c>
      <c r="AE12" s="196">
        <v>0</v>
      </c>
      <c r="AF12" s="202">
        <v>0</v>
      </c>
      <c r="AG12" s="215">
        <v>54</v>
      </c>
      <c r="AH12" s="196">
        <v>53</v>
      </c>
      <c r="AI12" s="196">
        <v>42</v>
      </c>
      <c r="AJ12" s="216">
        <v>65</v>
      </c>
      <c r="AK12" s="195">
        <v>0</v>
      </c>
      <c r="AL12" s="196">
        <v>0</v>
      </c>
      <c r="AM12" s="196">
        <v>0</v>
      </c>
      <c r="AN12" s="202">
        <v>0</v>
      </c>
      <c r="AO12" s="283">
        <v>3</v>
      </c>
      <c r="AP12" s="168">
        <v>3</v>
      </c>
      <c r="AQ12" s="168">
        <v>3</v>
      </c>
      <c r="AR12" s="167">
        <v>3</v>
      </c>
      <c r="AS12" s="381" t="s">
        <v>1075</v>
      </c>
      <c r="AT12" s="216"/>
      <c r="AU12" s="215"/>
      <c r="AV12" s="216"/>
      <c r="AW12" s="215"/>
      <c r="AX12" s="216"/>
      <c r="AY12" s="136">
        <f t="shared" si="1"/>
        <v>987</v>
      </c>
      <c r="AZ12" s="137">
        <f t="shared" si="1"/>
        <v>475</v>
      </c>
      <c r="BA12" s="137">
        <f t="shared" si="1"/>
        <v>522</v>
      </c>
      <c r="BB12" s="137">
        <f t="shared" si="1"/>
        <v>940</v>
      </c>
      <c r="BC12" s="135">
        <f>IF(ISNUMBER(X12),X12," - ")</f>
        <v>221</v>
      </c>
      <c r="BD12" s="136">
        <f t="shared" si="2"/>
        <v>1.0989473684210527</v>
      </c>
      <c r="BE12" s="137">
        <f t="shared" si="3"/>
        <v>1.8007662835249043</v>
      </c>
      <c r="BF12" s="137">
        <f t="shared" si="4"/>
        <v>0.42337164750957856</v>
      </c>
      <c r="BG12" s="209">
        <f t="shared" si="5"/>
        <v>2.8007662835249043</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933</v>
      </c>
      <c r="J14" s="197">
        <f t="shared" si="7"/>
        <v>460</v>
      </c>
      <c r="K14" s="197">
        <f t="shared" si="7"/>
        <v>446</v>
      </c>
      <c r="L14" s="197">
        <f t="shared" si="7"/>
        <v>1154</v>
      </c>
      <c r="M14" s="197">
        <f t="shared" si="7"/>
        <v>96</v>
      </c>
      <c r="N14" s="197">
        <f t="shared" si="7"/>
        <v>230</v>
      </c>
      <c r="O14" s="197">
        <f t="shared" si="7"/>
        <v>229</v>
      </c>
      <c r="P14" s="197">
        <f t="shared" si="7"/>
        <v>155</v>
      </c>
      <c r="Q14" s="197">
        <f t="shared" si="7"/>
        <v>75</v>
      </c>
      <c r="R14" s="197">
        <f t="shared" si="7"/>
        <v>1963</v>
      </c>
      <c r="S14" s="197">
        <f t="shared" si="7"/>
        <v>933</v>
      </c>
      <c r="T14" s="197">
        <f t="shared" si="7"/>
        <v>424</v>
      </c>
      <c r="U14" s="197">
        <f t="shared" si="7"/>
        <v>482</v>
      </c>
      <c r="V14" s="197">
        <f t="shared" si="7"/>
        <v>875</v>
      </c>
      <c r="W14" s="197">
        <f t="shared" si="7"/>
        <v>134</v>
      </c>
      <c r="X14" s="197">
        <f t="shared" si="7"/>
        <v>221</v>
      </c>
      <c r="Y14" s="197">
        <f t="shared" si="7"/>
        <v>74</v>
      </c>
      <c r="Z14" s="197">
        <f t="shared" si="7"/>
        <v>51</v>
      </c>
      <c r="AA14" s="197">
        <f t="shared" si="7"/>
        <v>45</v>
      </c>
      <c r="AB14" s="197">
        <f t="shared" si="7"/>
        <v>79</v>
      </c>
      <c r="AC14" s="197">
        <f t="shared" si="7"/>
        <v>0</v>
      </c>
      <c r="AD14" s="197">
        <f t="shared" si="7"/>
        <v>0</v>
      </c>
      <c r="AE14" s="197">
        <f t="shared" si="7"/>
        <v>0</v>
      </c>
      <c r="AF14" s="197">
        <f>SUBTOTAL(9,AF9:AF13)</f>
        <v>0</v>
      </c>
      <c r="AG14" s="197">
        <f t="shared" ref="AG14:AT14" si="8">SUBTOTAL(9,AG8:AG13)</f>
        <v>54</v>
      </c>
      <c r="AH14" s="197">
        <f t="shared" si="8"/>
        <v>53</v>
      </c>
      <c r="AI14" s="197">
        <f t="shared" si="8"/>
        <v>42</v>
      </c>
      <c r="AJ14" s="197">
        <f t="shared" si="8"/>
        <v>65</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987</v>
      </c>
      <c r="AZ14" s="197">
        <f>SUBTOTAL(9,AZ8:AZ13)</f>
        <v>477</v>
      </c>
      <c r="BA14" s="197">
        <f>SUBTOTAL(9,BA8:BA13)</f>
        <v>524</v>
      </c>
      <c r="BB14" s="197">
        <f>SUBTOTAL(9,BB8:BB13)</f>
        <v>940</v>
      </c>
      <c r="BC14" s="197">
        <f>SUBTOTAL(9,BC8:BC13)</f>
        <v>221</v>
      </c>
      <c r="BD14" s="219">
        <f>IF(ISNUMBER(BA14/AZ14),BA14/AZ14," - ")</f>
        <v>1.0985324947589099</v>
      </c>
      <c r="BE14" s="220">
        <f>IF(ISNUMBER(BB14/BA14),BB14/BA14, " - ")</f>
        <v>1.7938931297709924</v>
      </c>
      <c r="BF14" s="220">
        <f>IF(ISNUMBER(BC14/BA14),BC14/BA14, " - ")</f>
        <v>0.4217557251908397</v>
      </c>
      <c r="BG14" s="221">
        <f>IF(ISNUMBER((AY14+AZ14)/BA14),(AY14+AZ14)/BA14," - ")</f>
        <v>2.7938931297709924</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633</v>
      </c>
      <c r="J17" s="196">
        <v>573</v>
      </c>
      <c r="K17" s="196">
        <v>627</v>
      </c>
      <c r="L17" s="196">
        <v>556</v>
      </c>
      <c r="M17" s="196">
        <v>98</v>
      </c>
      <c r="N17" s="196">
        <v>379</v>
      </c>
      <c r="O17" s="194">
        <v>0</v>
      </c>
      <c r="P17" s="196">
        <v>36</v>
      </c>
      <c r="Q17" s="196">
        <v>9</v>
      </c>
      <c r="R17" s="196">
        <v>163</v>
      </c>
      <c r="S17" s="196">
        <v>667</v>
      </c>
      <c r="T17" s="196">
        <v>608</v>
      </c>
      <c r="U17" s="196">
        <v>618</v>
      </c>
      <c r="V17" s="196">
        <v>657</v>
      </c>
      <c r="W17" s="196">
        <v>88</v>
      </c>
      <c r="X17" s="202">
        <v>382</v>
      </c>
      <c r="Y17" s="215">
        <v>0</v>
      </c>
      <c r="Z17" s="196">
        <v>0</v>
      </c>
      <c r="AA17" s="196">
        <v>0</v>
      </c>
      <c r="AB17" s="196">
        <v>0</v>
      </c>
      <c r="AC17" s="196">
        <v>1</v>
      </c>
      <c r="AD17" s="196">
        <v>0</v>
      </c>
      <c r="AE17" s="196">
        <v>0</v>
      </c>
      <c r="AF17" s="202">
        <v>1</v>
      </c>
      <c r="AG17" s="215">
        <v>0</v>
      </c>
      <c r="AH17" s="196">
        <v>0</v>
      </c>
      <c r="AI17" s="196">
        <v>0</v>
      </c>
      <c r="AJ17" s="216">
        <v>0</v>
      </c>
      <c r="AK17" s="195">
        <v>0</v>
      </c>
      <c r="AL17" s="196">
        <v>2</v>
      </c>
      <c r="AM17" s="196">
        <v>2</v>
      </c>
      <c r="AN17" s="202">
        <v>0</v>
      </c>
      <c r="AO17" s="283">
        <v>3</v>
      </c>
      <c r="AP17" s="168">
        <v>3</v>
      </c>
      <c r="AQ17" s="168">
        <v>3</v>
      </c>
      <c r="AR17" s="168">
        <v>3</v>
      </c>
      <c r="AS17" s="381" t="s">
        <v>650</v>
      </c>
      <c r="AT17" s="216"/>
      <c r="AU17" s="215"/>
      <c r="AV17" s="216"/>
      <c r="AW17" s="215"/>
      <c r="AX17" s="216"/>
      <c r="AY17" s="136">
        <f t="shared" si="10"/>
        <v>667</v>
      </c>
      <c r="AZ17" s="137">
        <f t="shared" si="10"/>
        <v>608</v>
      </c>
      <c r="BA17" s="137">
        <f t="shared" si="10"/>
        <v>618</v>
      </c>
      <c r="BB17" s="137">
        <f t="shared" si="10"/>
        <v>657</v>
      </c>
      <c r="BC17" s="135">
        <f>IF(ISNUMBER(W17),W17," - ")</f>
        <v>88</v>
      </c>
      <c r="BD17" s="136">
        <f t="shared" ref="BD17:BD22" si="12">IF(ISNUMBER(BA17/AZ17),BA17/AZ17," - ")</f>
        <v>1.0164473684210527</v>
      </c>
      <c r="BE17" s="137">
        <f t="shared" ref="BE17:BE22" si="13">IF(ISNUMBER(BB17/BA17),BB17/BA17, " - ")</f>
        <v>1.0631067961165048</v>
      </c>
      <c r="BF17" s="137">
        <f t="shared" ref="BF17:BF22" si="14">IF(ISNUMBER(BC17/BA17),BC17/BA17, " - ")</f>
        <v>0.14239482200647249</v>
      </c>
      <c r="BG17" s="209">
        <f t="shared" si="11"/>
        <v>2.063106796116505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v>
      </c>
      <c r="J18" s="196">
        <v>34</v>
      </c>
      <c r="K18" s="196">
        <v>19</v>
      </c>
      <c r="L18" s="196">
        <v>22</v>
      </c>
      <c r="M18" s="196">
        <v>1</v>
      </c>
      <c r="N18" s="196">
        <v>16</v>
      </c>
      <c r="O18" s="196">
        <v>0</v>
      </c>
      <c r="P18" s="196">
        <v>1</v>
      </c>
      <c r="Q18" s="196">
        <v>12</v>
      </c>
      <c r="R18" s="196">
        <v>6</v>
      </c>
      <c r="S18" s="196">
        <v>4</v>
      </c>
      <c r="T18" s="196">
        <v>45</v>
      </c>
      <c r="U18" s="196">
        <v>42</v>
      </c>
      <c r="V18" s="196">
        <v>7</v>
      </c>
      <c r="W18" s="196">
        <v>3</v>
      </c>
      <c r="X18" s="202">
        <v>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45</v>
      </c>
      <c r="BA18" s="139">
        <f t="shared" si="15"/>
        <v>42</v>
      </c>
      <c r="BB18" s="139">
        <f t="shared" si="15"/>
        <v>7</v>
      </c>
      <c r="BC18" s="135">
        <f>IF(ISNUMBER(W18),W18," - ")</f>
        <v>3</v>
      </c>
      <c r="BD18" s="136">
        <f>IF(ISNUMBER(BA18/AZ18),BA18/AZ18," - ")</f>
        <v>0.93333333333333335</v>
      </c>
      <c r="BE18" s="137">
        <f>IF(ISNUMBER(BB18/BA18),BB18/BA18, " - ")</f>
        <v>0.16666666666666666</v>
      </c>
      <c r="BF18" s="137">
        <f>IF(ISNUMBER(BC18/BA18),BC18/BA18, " - ")</f>
        <v>7.1428571428571425E-2</v>
      </c>
      <c r="BG18" s="209">
        <f>IF(ISNUMBER((AY18+AZ18)/BA18),(AY18+AZ18)/BA18," - ")</f>
        <v>1.1666666666666667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640</v>
      </c>
      <c r="J23" s="197">
        <f t="shared" si="21"/>
        <v>607</v>
      </c>
      <c r="K23" s="197">
        <f t="shared" si="21"/>
        <v>646</v>
      </c>
      <c r="L23" s="197">
        <f t="shared" si="21"/>
        <v>578</v>
      </c>
      <c r="M23" s="197">
        <f t="shared" si="21"/>
        <v>99</v>
      </c>
      <c r="N23" s="197">
        <f t="shared" si="21"/>
        <v>395</v>
      </c>
      <c r="O23" s="197">
        <f t="shared" si="21"/>
        <v>0</v>
      </c>
      <c r="P23" s="197">
        <f t="shared" si="21"/>
        <v>37</v>
      </c>
      <c r="Q23" s="197">
        <f t="shared" si="21"/>
        <v>21</v>
      </c>
      <c r="R23" s="197">
        <f t="shared" si="21"/>
        <v>169</v>
      </c>
      <c r="S23" s="197">
        <f t="shared" si="21"/>
        <v>671</v>
      </c>
      <c r="T23" s="197">
        <f t="shared" si="21"/>
        <v>653</v>
      </c>
      <c r="U23" s="197">
        <f t="shared" si="21"/>
        <v>660</v>
      </c>
      <c r="V23" s="197">
        <f t="shared" si="21"/>
        <v>664</v>
      </c>
      <c r="W23" s="197">
        <f t="shared" si="21"/>
        <v>91</v>
      </c>
      <c r="X23" s="197">
        <f t="shared" si="21"/>
        <v>419</v>
      </c>
      <c r="Y23" s="197">
        <f t="shared" si="21"/>
        <v>0</v>
      </c>
      <c r="Z23" s="197">
        <f t="shared" si="21"/>
        <v>0</v>
      </c>
      <c r="AA23" s="197">
        <f t="shared" si="21"/>
        <v>0</v>
      </c>
      <c r="AB23" s="197">
        <f t="shared" si="21"/>
        <v>0</v>
      </c>
      <c r="AC23" s="197">
        <f t="shared" si="21"/>
        <v>1</v>
      </c>
      <c r="AD23" s="197">
        <f t="shared" si="21"/>
        <v>0</v>
      </c>
      <c r="AE23" s="197">
        <f t="shared" si="21"/>
        <v>0</v>
      </c>
      <c r="AF23" s="197">
        <f t="shared" si="21"/>
        <v>1</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671</v>
      </c>
      <c r="AZ23" s="197">
        <f>SUBTOTAL(9,AZ15:AZ22)</f>
        <v>653</v>
      </c>
      <c r="BA23" s="197">
        <f>SUBTOTAL(9,BA15:BA22)</f>
        <v>660</v>
      </c>
      <c r="BB23" s="197">
        <f>SUBTOTAL(9,BB15:BB22)</f>
        <v>664</v>
      </c>
      <c r="BC23" s="197">
        <f>SUBTOTAL(9,BC15:BC22)</f>
        <v>91</v>
      </c>
      <c r="BD23" s="219">
        <f>IF(ISNUMBER(BA23/AZ23),BA23/AZ23," - ")</f>
        <v>1.010719754977029</v>
      </c>
      <c r="BE23" s="220">
        <f>IF(ISNUMBER(BB23/BA23),BB23/BA23, " - ")</f>
        <v>1.0060606060606061</v>
      </c>
      <c r="BF23" s="220">
        <f>IF(ISNUMBER(BC23/BA23),BC23/BA23, " - ")</f>
        <v>0.13787878787878788</v>
      </c>
      <c r="BG23" s="221">
        <f>IF(ISNUMBER((AY23+AZ23)/BA23),(AY23+AZ23)/BA23," - ")</f>
        <v>2.0060606060606059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1573</v>
      </c>
      <c r="J31" s="144">
        <f t="shared" si="36"/>
        <v>1067</v>
      </c>
      <c r="K31" s="144">
        <f t="shared" si="36"/>
        <v>1092</v>
      </c>
      <c r="L31" s="144">
        <f t="shared" si="36"/>
        <v>1732</v>
      </c>
      <c r="M31" s="144">
        <f t="shared" si="36"/>
        <v>195</v>
      </c>
      <c r="N31" s="144">
        <f t="shared" si="36"/>
        <v>625</v>
      </c>
      <c r="O31" s="144">
        <f t="shared" si="36"/>
        <v>229</v>
      </c>
      <c r="P31" s="144">
        <f t="shared" si="36"/>
        <v>192</v>
      </c>
      <c r="Q31" s="144">
        <f t="shared" si="36"/>
        <v>96</v>
      </c>
      <c r="R31" s="144">
        <f t="shared" si="36"/>
        <v>2132</v>
      </c>
      <c r="S31" s="144">
        <f t="shared" si="36"/>
        <v>1604</v>
      </c>
      <c r="T31" s="144">
        <f t="shared" si="36"/>
        <v>1077</v>
      </c>
      <c r="U31" s="144">
        <f t="shared" si="36"/>
        <v>1142</v>
      </c>
      <c r="V31" s="144">
        <f t="shared" si="36"/>
        <v>1539</v>
      </c>
      <c r="W31" s="144">
        <f t="shared" si="36"/>
        <v>225</v>
      </c>
      <c r="X31" s="144">
        <f t="shared" si="36"/>
        <v>640</v>
      </c>
      <c r="Y31" s="144">
        <f t="shared" si="36"/>
        <v>74</v>
      </c>
      <c r="Z31" s="144">
        <f t="shared" si="36"/>
        <v>51</v>
      </c>
      <c r="AA31" s="144">
        <f t="shared" si="36"/>
        <v>45</v>
      </c>
      <c r="AB31" s="144">
        <f t="shared" si="36"/>
        <v>79</v>
      </c>
      <c r="AC31" s="144">
        <f t="shared" si="36"/>
        <v>1</v>
      </c>
      <c r="AD31" s="144">
        <f t="shared" si="36"/>
        <v>0</v>
      </c>
      <c r="AE31" s="144">
        <f t="shared" si="36"/>
        <v>0</v>
      </c>
      <c r="AF31" s="144">
        <f t="shared" si="36"/>
        <v>1</v>
      </c>
      <c r="AG31" s="144">
        <f t="shared" si="36"/>
        <v>54</v>
      </c>
      <c r="AH31" s="144">
        <f t="shared" si="36"/>
        <v>53</v>
      </c>
      <c r="AI31" s="144">
        <f t="shared" si="36"/>
        <v>42</v>
      </c>
      <c r="AJ31" s="144">
        <f t="shared" si="36"/>
        <v>65</v>
      </c>
      <c r="AK31" s="144">
        <f t="shared" si="36"/>
        <v>0</v>
      </c>
      <c r="AL31" s="144">
        <f t="shared" si="36"/>
        <v>2</v>
      </c>
      <c r="AM31" s="144">
        <f t="shared" si="36"/>
        <v>2</v>
      </c>
      <c r="AN31" s="224">
        <f t="shared" si="36"/>
        <v>0</v>
      </c>
      <c r="AO31" s="225">
        <v>4</v>
      </c>
      <c r="AP31" s="225">
        <v>3</v>
      </c>
      <c r="AQ31" s="225">
        <v>3</v>
      </c>
      <c r="AR31" s="225">
        <v>3</v>
      </c>
      <c r="AS31" s="166">
        <f t="shared" si="36"/>
        <v>0</v>
      </c>
      <c r="AT31" s="166">
        <f t="shared" si="36"/>
        <v>0</v>
      </c>
      <c r="AU31" s="225"/>
      <c r="AV31" s="226"/>
      <c r="AW31" s="225"/>
      <c r="AX31" s="226"/>
      <c r="AY31" s="143">
        <f>SUBTOTAL(9,AY9:AY30)</f>
        <v>1658</v>
      </c>
      <c r="AZ31" s="144">
        <f>SUBTOTAL(9,AZ9:AZ30)</f>
        <v>1130</v>
      </c>
      <c r="BA31" s="144">
        <f>SUBTOTAL(9,BA9:BA30)</f>
        <v>1184</v>
      </c>
      <c r="BB31" s="144">
        <f>SUBTOTAL(9,BB9:BB30)</f>
        <v>1604</v>
      </c>
      <c r="BC31" s="145">
        <f>SUBTOTAL(9,BC9:BC30)</f>
        <v>312</v>
      </c>
      <c r="BD31" s="227">
        <f>IF(ISNUMBER(BA31/AZ31),BA31/AZ31," - ")</f>
        <v>1.047787610619469</v>
      </c>
      <c r="BE31" s="224">
        <f>IF(ISNUMBER(BB31/BA31),BB31/BA31, " - ")</f>
        <v>1.3547297297297298</v>
      </c>
      <c r="BF31" s="224">
        <f>IF(ISNUMBER(BC31/BA31),BC31/BA31, " - ")</f>
        <v>0.26351351351351349</v>
      </c>
      <c r="BG31" s="145">
        <f>IF(ISNUMBER((AY31+AZ31)/BA31),(AY31+AZ31)/BA31," - ")</f>
        <v>2.3547297297297298</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db3n8sH2sOSWZwgozW8x/q/Xq46C0HtmjDyoSZvw70Gjv0QQ7nqE9AAKObLQbLE7yFPMWkdxU9rrQEwoZUvNw==" saltValue="aPP33BWmHake7DqkVQfG/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pVJcK07Vc/b0AkctZwX+3d/V9dIE/DVm7su6tk5mJjCD6xPH1X3Z8tBx36Ubkk3LKBnYbZAnOKoTd5CqRAHFQ==" saltValue="+Qr5LYAZaceD+vqKbcXD5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RONDA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51</v>
      </c>
      <c r="O12" s="549"/>
      <c r="P12" s="549"/>
      <c r="Q12" s="547">
        <f>IF(ISNUMBER(Datos!P12),Datos!P12,0)</f>
        <v>155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79</v>
      </c>
      <c r="AI12" s="549" t="str">
        <f>IF(ISNUMBER(Datos!CD12),Datos!CD12,"-")</f>
        <v>-</v>
      </c>
      <c r="AJ12" s="549" t="str">
        <f>IF(ISNUMBER(Datos!EN12),Datos!EN12," - ")</f>
        <v xml:space="preserve"> - </v>
      </c>
      <c r="AK12" s="549"/>
      <c r="AL12" s="550"/>
      <c r="AM12" s="766">
        <f>IF(ISNUMBER(Datos!R12),Datos!R12," - ")</f>
        <v>1963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96</v>
      </c>
      <c r="BD12" s="693">
        <f>IF(ISNUMBER(Datos!N12),Datos!N12," - ")</f>
        <v>230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0.96078431372549022</v>
      </c>
      <c r="BH12" s="764">
        <f>IF(ISNUMBER(((IF(J_V="SI",Datos!L12/Datos!K12,(Datos!L12+Datos!AB12)/(Datos!K12+Datos!AA12)))*11)/factor_trimestre),((IF(J_V="SI",Datos!L12/Datos!K12,(Datos!L12+Datos!AB12)/(Datos!K12+Datos!AA12)))*11)/factor_trimestre," - ")</f>
        <v>7.5489795918367353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4.2485395645246948E-2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51</v>
      </c>
      <c r="O14" s="1199">
        <f t="shared" si="1"/>
        <v>0</v>
      </c>
      <c r="P14" s="1199">
        <f t="shared" si="1"/>
        <v>0</v>
      </c>
      <c r="Q14" s="1198">
        <f t="shared" si="1"/>
        <v>155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75</v>
      </c>
      <c r="AD14" s="1198">
        <f t="shared" si="2"/>
        <v>0</v>
      </c>
      <c r="AE14" s="1198">
        <f t="shared" si="2"/>
        <v>0</v>
      </c>
      <c r="AF14" s="1198">
        <f t="shared" si="2"/>
        <v>0</v>
      </c>
      <c r="AG14" s="1198">
        <f t="shared" si="2"/>
        <v>0</v>
      </c>
      <c r="AH14" s="1198">
        <f t="shared" si="2"/>
        <v>79</v>
      </c>
      <c r="AI14" s="1198">
        <f t="shared" si="2"/>
        <v>0</v>
      </c>
      <c r="AJ14" s="1198">
        <f t="shared" si="2"/>
        <v>0</v>
      </c>
      <c r="AK14" s="1198">
        <f t="shared" si="2"/>
        <v>0</v>
      </c>
      <c r="AL14" s="1198">
        <f t="shared" si="2"/>
        <v>0</v>
      </c>
      <c r="AM14" s="1198">
        <f t="shared" si="2"/>
        <v>1963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96</v>
      </c>
      <c r="BD14" s="1198">
        <f t="shared" si="2"/>
        <v>230</v>
      </c>
      <c r="BE14" s="1198">
        <f t="shared" si="2"/>
        <v>0</v>
      </c>
      <c r="BF14" s="1198">
        <f t="shared" si="2"/>
        <v>0</v>
      </c>
      <c r="BG14" s="1198">
        <f>IF(ISNUMBER(Datos!K14/Datos!J14),Datos!K14/Datos!J14," - ")</f>
        <v>0.9695652173913043</v>
      </c>
      <c r="BH14" s="1202">
        <f>IF(ISNUMBER(((Datos!L14/Datos!K14)*11)/factor_trimestre),((Datos!L14/Datos!K14)*11)/factor_trimestre," - ")</f>
        <v>7.7623318385650224</v>
      </c>
      <c r="BI14" s="1198">
        <f>IF(ISNUMBER('Resol  Asuntos'!D14/NºAsuntos!G14),'Resol  Asuntos'!D14/NºAsuntos!G14," - ")</f>
        <v>0.1955193482688391</v>
      </c>
      <c r="BJ14" s="1198" t="str">
        <f>IF(ISNUMBER(Datos!CI14/Datos!CJ14),Datos!CI14/Datos!CJ14," - ")</f>
        <v xml:space="preserve"> - </v>
      </c>
      <c r="BK14" s="1198">
        <f>SUBTOTAL(9,BK8:BK13)</f>
        <v>0</v>
      </c>
      <c r="BL14" s="1198" t="str">
        <f>IF(ISNUMBER((I14-AB14+L14)/(F14)),(I14-AB14+L14)/(F14)," - ")</f>
        <v xml:space="preserve"> - </v>
      </c>
      <c r="BM14" s="1203">
        <f>SUBTOTAL(9,BM9:BM13)</f>
        <v>4.2485395645246948E-2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610</v>
      </c>
      <c r="G17" s="743">
        <f>IF(ISNUMBER(IF(D_I="SI",Datos!I17,Datos!I17+Datos!AC17)),IF(D_I="SI",Datos!I17,Datos!I17+Datos!AC17)," - ")</f>
        <v>633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627</v>
      </c>
      <c r="AC17" s="240">
        <f>IF(ISNUMBER(Datos!Q17),Datos!Q17," - ")</f>
        <v>9</v>
      </c>
      <c r="AD17" s="374"/>
      <c r="AE17" s="562"/>
      <c r="AF17" s="741">
        <f>IF(ISNUMBER(IF(D_I="SI",Datos!L17,Datos!L17+Datos!AF17)),IF(D_I="SI",Datos!L17,Datos!L17+Datos!AF17)," - ")</f>
        <v>556</v>
      </c>
      <c r="AG17" s="374"/>
      <c r="AH17" s="374"/>
      <c r="AI17" s="374"/>
      <c r="AJ17" s="549"/>
      <c r="AK17" s="374"/>
      <c r="AL17" s="545"/>
      <c r="AM17" s="375">
        <f>IF(ISNUMBER(Datos!R17),Datos!R17," - ")</f>
        <v>163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98</v>
      </c>
      <c r="BD17" s="243">
        <f>IF(ISNUMBER(Datos!N17),Datos!N17," - ")</f>
        <v>379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1.0942408376963351</v>
      </c>
      <c r="BH17" s="764">
        <f>IF(ISNUMBER(((IF(D_I="SI",Datos!L17/Datos!K17,(Datos!L17+Datos!AF17)/(Datos!K17+Datos!AE17)))*11)/factor_trimestre),((IF(D_I="SI",Datos!L17/Datos!K17,(Datos!L17+Datos!AF17)/(Datos!K17+Datos!AE17)))*11)/factor_trimestre," - ")</f>
        <v>2.660287081339713</v>
      </c>
      <c r="BI17" s="266">
        <f>IF(ISNUMBER('Resol  Asuntos'!D17/NºAsuntos!G17),'Resol  Asuntos'!D17/NºAsuntos!G17," - ")</f>
        <v>0.15629984051036683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v>
      </c>
      <c r="AC18" s="547">
        <f>IF(ISNUMBER(Datos!Q18),Datos!Q18," - ")</f>
        <v>12</v>
      </c>
      <c r="AD18" s="549"/>
      <c r="AE18" s="562"/>
      <c r="AF18" s="551">
        <f>IF(ISNUMBER(Datos!L18),Datos!L18,"-")</f>
        <v>22</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0.55882352941176472</v>
      </c>
      <c r="BH18" s="764">
        <f>IF(ISNUMBER(((IF(D_I="SI",Datos!L18/Datos!K18,(Datos!L18+Datos!AF18)/(Datos!K18+Datos!AE18)))*11)/factor_trimestre),((IF(D_I="SI",Datos!L18/Datos!K18,(Datos!L18+Datos!AF18)/(Datos!K18+Datos!AE18)))*11)/factor_trimestre," - ")</f>
        <v>3.4736842105263159</v>
      </c>
      <c r="BI18" s="763">
        <f>IF(ISNUMBER('Resol  Asuntos'!D18/NºAsuntos!G18),'Resol  Asuntos'!D18/NºAsuntos!G18," - ")</f>
        <v>5.2631578947368418E-2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610</v>
      </c>
      <c r="G23" s="1197">
        <f>SUBTOTAL(9,G16:G22)</f>
        <v>640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646</v>
      </c>
      <c r="AC23" s="1198">
        <f t="shared" si="5"/>
        <v>21</v>
      </c>
      <c r="AD23" s="1198">
        <f t="shared" si="5"/>
        <v>0</v>
      </c>
      <c r="AE23" s="1198">
        <f t="shared" si="5"/>
        <v>0</v>
      </c>
      <c r="AF23" s="1198">
        <f t="shared" si="5"/>
        <v>578</v>
      </c>
      <c r="AG23" s="1198">
        <f t="shared" si="5"/>
        <v>0</v>
      </c>
      <c r="AH23" s="1198">
        <f t="shared" si="5"/>
        <v>0</v>
      </c>
      <c r="AI23" s="1198">
        <f t="shared" si="5"/>
        <v>0</v>
      </c>
      <c r="AJ23" s="1198">
        <f t="shared" si="5"/>
        <v>0</v>
      </c>
      <c r="AK23" s="1198">
        <f t="shared" si="5"/>
        <v>0</v>
      </c>
      <c r="AL23" s="1198">
        <f t="shared" si="5"/>
        <v>0</v>
      </c>
      <c r="AM23" s="1198">
        <f t="shared" si="5"/>
        <v>169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99</v>
      </c>
      <c r="BD23" s="1198">
        <f t="shared" si="5"/>
        <v>395</v>
      </c>
      <c r="BE23" s="1198">
        <f t="shared" si="5"/>
        <v>0</v>
      </c>
      <c r="BF23" s="1198">
        <f t="shared" si="5"/>
        <v>0</v>
      </c>
      <c r="BG23" s="1198">
        <f>IF(ISNUMBER(Datos!K23/Datos!J23),Datos!K23/Datos!J23," - ")</f>
        <v>1.0642504118616145</v>
      </c>
      <c r="BH23" s="1202">
        <f>IF(ISNUMBER(((Datos!L23/Datos!K23)*11)/factor_trimestre),((Datos!L23/Datos!K23)*11)/factor_trimestre," - ")</f>
        <v>2.6842105263157898</v>
      </c>
      <c r="BI23" s="1198">
        <f>SUBTOTAL(9,BI16:BI22)</f>
        <v>0.20893141945773525</v>
      </c>
      <c r="BJ23" s="1198">
        <f>SUBTOTAL(9,BJ16:BJ22)</f>
        <v>0</v>
      </c>
      <c r="BK23" s="1198">
        <f>SUBTOTAL(9,BK16:BK22)</f>
        <v>0</v>
      </c>
      <c r="BL23" s="1198">
        <f>IF(ISNUMBER((I23-AB23+L23)/(F23)),(I23-AB23+L23)/(F23)," - ")</f>
        <v>-1.0590163934426229</v>
      </c>
      <c r="BM23" s="1205">
        <f>IF(ISNUMBER((Datos!P23-Datos!Q23)/(Datos!R23-Datos!P23+Datos!Q23)),(Datos!P23-Datos!Q23)/(Datos!R23-Datos!P23+Datos!Q23)," - ")</f>
        <v>0.10457516339869281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610</v>
      </c>
      <c r="G31" s="1117">
        <f t="shared" si="18"/>
        <v>640</v>
      </c>
      <c r="H31" s="1119">
        <f t="shared" si="18"/>
        <v>0</v>
      </c>
      <c r="I31" s="1117">
        <f t="shared" si="18"/>
        <v>0</v>
      </c>
      <c r="J31" s="1119">
        <f t="shared" si="18"/>
        <v>0</v>
      </c>
      <c r="K31" s="1119">
        <f t="shared" si="18"/>
        <v>0</v>
      </c>
      <c r="L31" s="1180">
        <f t="shared" si="18"/>
        <v>0</v>
      </c>
      <c r="M31" s="1180">
        <f t="shared" si="18"/>
        <v>0</v>
      </c>
      <c r="N31" s="1180">
        <f t="shared" si="18"/>
        <v>51</v>
      </c>
      <c r="O31" s="1180">
        <f t="shared" si="18"/>
        <v>0</v>
      </c>
      <c r="P31" s="1180">
        <f t="shared" si="18"/>
        <v>0</v>
      </c>
      <c r="Q31" s="1119">
        <f t="shared" si="18"/>
        <v>192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647</v>
      </c>
      <c r="AC31" s="1118">
        <f t="shared" si="19"/>
        <v>96</v>
      </c>
      <c r="AD31" s="1118">
        <f t="shared" si="19"/>
        <v>0</v>
      </c>
      <c r="AE31" s="1118">
        <f t="shared" si="19"/>
        <v>0</v>
      </c>
      <c r="AF31" s="1125">
        <f t="shared" si="19"/>
        <v>578</v>
      </c>
      <c r="AG31" s="1125">
        <f t="shared" si="19"/>
        <v>0</v>
      </c>
      <c r="AH31" s="1125">
        <f t="shared" si="19"/>
        <v>79</v>
      </c>
      <c r="AI31" s="1125">
        <f t="shared" si="19"/>
        <v>0</v>
      </c>
      <c r="AJ31" s="1118">
        <f t="shared" si="19"/>
        <v>0</v>
      </c>
      <c r="AK31" s="1125">
        <f t="shared" si="19"/>
        <v>0</v>
      </c>
      <c r="AL31" s="1125">
        <f t="shared" si="19"/>
        <v>0</v>
      </c>
      <c r="AM31" s="1125">
        <f t="shared" si="19"/>
        <v>2132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195</v>
      </c>
      <c r="BD31" s="1117">
        <f t="shared" si="19"/>
        <v>625</v>
      </c>
      <c r="BE31" s="1117">
        <f t="shared" si="19"/>
        <v>0</v>
      </c>
      <c r="BF31" s="1127">
        <f t="shared" si="19"/>
        <v>0</v>
      </c>
      <c r="BG31" s="1223">
        <f>IF(ISNUMBER(Datos!K31/Datos!J31),Datos!K31/Datos!J31," - ")</f>
        <v>1.0234301780693533</v>
      </c>
      <c r="BH31" s="1223">
        <f>IF(ISNUMBER(((Datos!L31/Datos!K31)*11)/factor_trimestre),((Datos!L31/Datos!K31)*11)/factor_trimestre," - ")</f>
        <v>4.7582417582417582</v>
      </c>
      <c r="BI31" s="1103">
        <f>IF(ISNUMBER(Datos!J31/Datos!I31),Datos!J31/Datos!I31," - ")</f>
        <v>0.67832167832167833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-1.0606557377049179</v>
      </c>
      <c r="BM31" s="1188">
        <f>IF(ISNUMBER((Datos!P31-Datos!Q31+R31)/(Datos!R31-Datos!P31+Datos!Q31-R31)),(Datos!P31-Datos!Q31+R31)/(Datos!R31-Datos!P31+Datos!Q31-R31)," - ")</f>
        <v>4.7151277013752456E-2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182.85714285714286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315.00264549153655</v>
      </c>
      <c r="G33" s="674">
        <f>IF(ISNUMBER(STDEV(G8:G30)),STDEV(G8:G30),"-")</f>
        <v>309.91419703493665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308.65375885795214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51.859012166229533</v>
      </c>
      <c r="BD33" s="673"/>
      <c r="BE33" s="673">
        <f>IF(ISNUMBER(STDEV(BE8:BE30)),STDEV(BE8:BE30),"-")</f>
        <v>0</v>
      </c>
      <c r="BF33" s="678">
        <f>IF(ISNUMBER(STDEV(BF8:BF30)),STDEV(BF8:BF30),"-")</f>
        <v>0</v>
      </c>
      <c r="BG33" s="1052">
        <f>IF(ISNUMBER(STDEV(BG8:BG30)),STDEV(BG8:BG30),"-")</f>
        <v>0.19463822959158691</v>
      </c>
      <c r="BH33" s="1058">
        <f>IF(ISNUMBER(STDEV(BH8:BH30)),STDEV(BH8:BH30),"-")</f>
        <v>3.0512536181133258</v>
      </c>
      <c r="BI33" s="273">
        <f>IF(ISNUMBER(STDEV(BI8:BI30)),STDEV(BI8:BI30),"-")</f>
        <v>7.0758862675528805E-2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05SxR8933dh/k9+pFz7KHMwj5HCmTNlqP9alpudXexaI7T86cYuvqW1ozh+rt3XcgkUYEFsh4fe5ay/s5VXKlw==" saltValue="CvrenrJWX+P3u4wKu6zr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RONDA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75</v>
      </c>
      <c r="AA12" s="551" t="str">
        <f>IF(ISNUMBER(IF(J_V="SI",Datos!L12,Datos!L12+Datos!AB12)-IF(Monitorios="SI",Datos!CD12,0)),
                          IF(J_V="SI",Datos!L12,Datos!L12+Datos!AB12)-IF(Monitorios="SI",Datos!CD12,0),
                          " - ")</f>
        <v xml:space="preserve"> - </v>
      </c>
      <c r="AB12" s="549"/>
      <c r="AC12" s="549"/>
      <c r="AD12" s="563"/>
      <c r="AE12" s="563">
        <f>IF(ISNUMBER(Datos!R12),Datos!R12," - ")</f>
        <v>1963</v>
      </c>
      <c r="AF12" s="693" t="str">
        <f>IF(ISNUMBER(Datos!BV12),Datos!BV12," - ")</f>
        <v xml:space="preserve"> - </v>
      </c>
      <c r="AG12" s="552" t="str">
        <f>IF(ISNUMBER(Datos!DV12),Datos!DV12," - ")</f>
        <v xml:space="preserve"> - </v>
      </c>
      <c r="AH12" s="553"/>
      <c r="AI12" s="554"/>
      <c r="AJ12" s="552">
        <f>IF(ISNUMBER(Datos!M12),Datos!M12," - ")</f>
        <v>96</v>
      </c>
      <c r="AK12" s="693">
        <f>IF(ISNUMBER(Datos!N12),Datos!N12," - ")</f>
        <v>230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7.5489795918367353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4.2485395645246948E-2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155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75</v>
      </c>
      <c r="AA14" s="1199">
        <f t="shared" si="3"/>
        <v>0</v>
      </c>
      <c r="AB14" s="1199">
        <f t="shared" si="3"/>
        <v>0</v>
      </c>
      <c r="AC14" s="1199">
        <f t="shared" si="3"/>
        <v>0</v>
      </c>
      <c r="AD14" s="1199">
        <f t="shared" si="3"/>
        <v>0</v>
      </c>
      <c r="AE14" s="1199">
        <f t="shared" si="3"/>
        <v>1963</v>
      </c>
      <c r="AF14" s="1211">
        <f t="shared" si="3"/>
        <v>0</v>
      </c>
      <c r="AG14" s="1211">
        <f t="shared" si="3"/>
        <v>0</v>
      </c>
      <c r="AH14" s="1211">
        <f t="shared" si="3"/>
        <v>0</v>
      </c>
      <c r="AI14" s="1211">
        <f t="shared" si="3"/>
        <v>0</v>
      </c>
      <c r="AJ14" s="1211">
        <f t="shared" si="3"/>
        <v>96</v>
      </c>
      <c r="AK14" s="1211">
        <f t="shared" si="3"/>
        <v>230</v>
      </c>
      <c r="AL14" s="1211">
        <f t="shared" si="3"/>
        <v>0</v>
      </c>
      <c r="AM14" s="1211">
        <f t="shared" si="3"/>
        <v>0</v>
      </c>
      <c r="AN14" s="1211">
        <f t="shared" si="3"/>
        <v>0</v>
      </c>
      <c r="AO14" s="1203">
        <f>IF(ISNUMBER(((NºAsuntos!I14/NºAsuntos!G14)*11)/factor_trimestre),((NºAsuntos!I14/NºAsuntos!G14)*11)/factor_trimestre," - ")</f>
        <v>7.5336048879837065</v>
      </c>
      <c r="AP14" s="1213" t="str">
        <f>IF(ISNUMBER(Datos!CI14/Datos!CJ14),Datos!CI14/Datos!CJ14," - ")</f>
        <v xml:space="preserve"> - </v>
      </c>
      <c r="AQ14" s="1236">
        <f t="shared" ref="AQ14:AV14" si="4">SUBTOTAL(9,AQ9:AQ13)</f>
        <v>0</v>
      </c>
      <c r="AR14" s="1236">
        <f t="shared" si="4"/>
        <v>4.2485395645246948E-2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610</v>
      </c>
      <c r="G17" s="552">
        <f>IF(ISNUMBER(IF(D_I="SI",Datos!I17,Datos!I17+Datos!AC17)),IF(D_I="SI",Datos!I17,Datos!I17+Datos!AC17)," - ")</f>
        <v>633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627</v>
      </c>
      <c r="Z17" s="805">
        <f>IF(ISNUMBER(Datos!Q17),Datos!Q17," - ")</f>
        <v>9</v>
      </c>
      <c r="AA17" s="551">
        <f>IF(ISNUMBER(IF(D_I="SI",Datos!L17,Datos!L17+Datos!AF17)),IF(D_I="SI",Datos!L17,Datos!L17+Datos!AF17)," - ")</f>
        <v>556</v>
      </c>
      <c r="AB17" s="549"/>
      <c r="AC17" s="549"/>
      <c r="AD17" s="563"/>
      <c r="AE17" s="563">
        <f>IF(ISNUMBER(Datos!R17),Datos!R17," - ")</f>
        <v>163</v>
      </c>
      <c r="AF17" s="693" t="str">
        <f>IF(ISNUMBER(Datos!BV17),Datos!BV17," - ")</f>
        <v xml:space="preserve"> - </v>
      </c>
      <c r="AG17" s="552"/>
      <c r="AH17" s="553"/>
      <c r="AI17" s="554"/>
      <c r="AJ17" s="552">
        <f>IF(ISNUMBER(Datos!M17),Datos!M17," - ")</f>
        <v>98</v>
      </c>
      <c r="AK17" s="693">
        <f>IF(ISNUMBER(Datos!N17),Datos!N17," - ")</f>
        <v>379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2.660287081339713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v>
      </c>
      <c r="Z18" s="805">
        <f>IF(ISNUMBER(Datos!Q18),Datos!Q18," - ")</f>
        <v>12</v>
      </c>
      <c r="AA18" s="551">
        <f>IF(ISNUMBER(Datos!L18),Datos!L18,"-")</f>
        <v>22</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3.4736842105263159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610</v>
      </c>
      <c r="G23" s="1197">
        <f>SUBTOTAL(9,G16:G22)</f>
        <v>640</v>
      </c>
      <c r="H23" s="1240">
        <f>SUBTOTAL(9,H16:H22)</f>
        <v>0</v>
      </c>
      <c r="I23" s="1217">
        <f>SUBTOTAL(9,I16:I22)</f>
        <v>0</v>
      </c>
      <c r="J23" s="1164">
        <f>SUBTOTAL(9,J15:J22)</f>
        <v>0</v>
      </c>
      <c r="K23" s="1240">
        <f t="shared" ref="K23:S23" si="5">SUBTOTAL(9,K16:K22)</f>
        <v>0</v>
      </c>
      <c r="L23" s="1240">
        <f t="shared" si="5"/>
        <v>0</v>
      </c>
      <c r="M23" s="1240">
        <f t="shared" si="5"/>
        <v>0</v>
      </c>
      <c r="N23" s="1240">
        <f t="shared" si="5"/>
        <v>37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646</v>
      </c>
      <c r="Z23" s="1240">
        <f t="shared" si="6"/>
        <v>21</v>
      </c>
      <c r="AA23" s="1240">
        <f t="shared" si="6"/>
        <v>578</v>
      </c>
      <c r="AB23" s="1240">
        <f t="shared" si="6"/>
        <v>0</v>
      </c>
      <c r="AC23" s="1240">
        <f t="shared" si="6"/>
        <v>0</v>
      </c>
      <c r="AD23" s="1240">
        <f t="shared" si="6"/>
        <v>0</v>
      </c>
      <c r="AE23" s="1240">
        <f t="shared" si="6"/>
        <v>169</v>
      </c>
      <c r="AF23" s="1240">
        <f t="shared" si="6"/>
        <v>0</v>
      </c>
      <c r="AG23" s="1240">
        <f t="shared" si="6"/>
        <v>0</v>
      </c>
      <c r="AH23" s="1240">
        <f t="shared" si="6"/>
        <v>0</v>
      </c>
      <c r="AI23" s="1240">
        <f t="shared" si="6"/>
        <v>0</v>
      </c>
      <c r="AJ23" s="1240">
        <f t="shared" si="6"/>
        <v>99</v>
      </c>
      <c r="AK23" s="1240">
        <f t="shared" si="6"/>
        <v>395</v>
      </c>
      <c r="AL23" s="1240">
        <f t="shared" si="6"/>
        <v>0</v>
      </c>
      <c r="AM23" s="1240">
        <f t="shared" si="6"/>
        <v>0</v>
      </c>
      <c r="AN23" s="1240">
        <f t="shared" si="6"/>
        <v>0</v>
      </c>
      <c r="AO23" s="1242">
        <f>IF(ISNUMBER(((NºAsuntos!I23/NºAsuntos!G23)*11)/factor_trimestre),((NºAsuntos!I23/NºAsuntos!G23)*11)/factor_trimestre," - ")</f>
        <v>2.6842105263157898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610</v>
      </c>
      <c r="G31" s="1117">
        <f t="shared" si="12"/>
        <v>640</v>
      </c>
      <c r="H31" s="1118">
        <f t="shared" si="12"/>
        <v>0</v>
      </c>
      <c r="I31" s="1117">
        <f t="shared" si="12"/>
        <v>0</v>
      </c>
      <c r="J31" s="1119">
        <f t="shared" si="12"/>
        <v>0</v>
      </c>
      <c r="K31" s="1117">
        <f t="shared" si="12"/>
        <v>0</v>
      </c>
      <c r="L31" s="1120">
        <f t="shared" si="12"/>
        <v>0</v>
      </c>
      <c r="M31" s="1117">
        <f t="shared" si="12"/>
        <v>0</v>
      </c>
      <c r="N31" s="1118">
        <f t="shared" si="12"/>
        <v>192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647</v>
      </c>
      <c r="Z31" s="1124">
        <f t="shared" si="13"/>
        <v>96</v>
      </c>
      <c r="AA31" s="1125">
        <f t="shared" si="13"/>
        <v>578</v>
      </c>
      <c r="AB31" s="1125">
        <f t="shared" si="13"/>
        <v>0</v>
      </c>
      <c r="AC31" s="1125">
        <f t="shared" si="13"/>
        <v>0</v>
      </c>
      <c r="AD31" s="1126">
        <f t="shared" si="13"/>
        <v>0</v>
      </c>
      <c r="AE31" s="1126">
        <f t="shared" si="13"/>
        <v>2132</v>
      </c>
      <c r="AF31" s="1127">
        <f t="shared" si="13"/>
        <v>0</v>
      </c>
      <c r="AG31" s="1128">
        <f t="shared" si="13"/>
        <v>0</v>
      </c>
      <c r="AH31" s="1129">
        <f t="shared" si="13"/>
        <v>0</v>
      </c>
      <c r="AI31" s="1127">
        <f t="shared" si="13"/>
        <v>0</v>
      </c>
      <c r="AJ31" s="1117">
        <f t="shared" si="13"/>
        <v>195</v>
      </c>
      <c r="AK31" s="1117">
        <f t="shared" si="13"/>
        <v>625</v>
      </c>
      <c r="AL31" s="1117">
        <f t="shared" si="13"/>
        <v>0</v>
      </c>
      <c r="AM31" s="1130">
        <f t="shared" si="13"/>
        <v>0</v>
      </c>
      <c r="AN31" s="1120">
        <f>IF(ISNUMBER(Datos!K31/Datos!J31),Datos!K31/Datos!J31," - ")</f>
        <v>1.0234301780693533</v>
      </c>
      <c r="AO31" s="1120">
        <f>IF(ISNUMBER(FIND("06",Criterios!A8,1)),(IF(ISNUMBER(((Datos!R31/Datos!Q31)*11)/factor_trimestre),((Datos!R31/Datos!Q31)*11)/factor_trimestre," - ")),(IF(ISNUMBER(((Datos!L31/Datos!K31)*11)/factor_trimestre),((Datos!L31/Datos!K31)*11)/factor_trimestre," - ")))</f>
        <v>4.7582417582417582</v>
      </c>
      <c r="AP31" s="1131" t="str">
        <f>IF(ISNUMBER(Datos!CI31/Datos!CJ31),Datos!CI31/Datos!CJ31," - ")</f>
        <v xml:space="preserve"> - </v>
      </c>
      <c r="AQ31" s="1131">
        <f>IF(OR(ISNUMBER(FIND("01",Criterios!A8,1)),ISNUMBER(FIND("02",Criterios!A8,1)),ISNUMBER(FIND("03",Criterios!A8,1)),ISNUMBER(FIND("04",Criterios!A8,1))),(J31-Y31+K31)/(F31-K31),(I31-Y31+K31)/(F31-K31))</f>
        <v>-1.0606557377049179</v>
      </c>
      <c r="AR31" s="1131">
        <f>IF(ISNUMBER((Datos!P31-Datos!Q31+O31)/(Datos!R31-Datos!P31+Datos!Q31-O31)),(Datos!P31-Datos!Q31+O31)/(Datos!R31-Datos!P31+Datos!Q31-O31)," - ")</f>
        <v>4.7151277013752456E-2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182.85714285714286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315.00264549153655</v>
      </c>
      <c r="G33" s="674">
        <f>IF(ISNUMBER(STDEV(G8:G30)),STDEV(G8:G30),"-")</f>
        <v>309.91419703493665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51.859012166229533</v>
      </c>
      <c r="AK33" s="276"/>
      <c r="AL33" s="276">
        <f>IF(ISNUMBER(STDEV(AL8:AL30)),STDEV(AL8:AL30),"-")</f>
        <v>0</v>
      </c>
      <c r="AM33" s="278">
        <f>IF(ISNUMBER(STDEV(AM8:AM30)),STDEV(AM8:AM30),"-")</f>
        <v>0</v>
      </c>
      <c r="AN33" s="660">
        <f>IF(ISNUMBER(STDEV(AN8:AN30)),STDEV(AN8:AN30),"-")</f>
        <v>0</v>
      </c>
      <c r="AO33" s="661">
        <f>IF(ISNUMBER(STDEV(AO8:AO30)),STDEV(AO8:AO30),"-")</f>
        <v>2.9961014462170681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Ioel+nEJRk5oPR+He9JWwAP7Gxo7Adj8Cl/25O/l+cp6LyaXDzMiUNdF/BsimJ5c8b0Vq3VLcjo4ggujb9yIfA==" saltValue="bCM+Hm8jYkRIDL92FwEO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oMar1HPOYG4CeUd4vSLTHh9unWnaASPFXYfLwpJRvGyBSyzAYHm8exClNH12N/jgbVBecuxHmk2pwHOIyW6Vg==" saltValue="/2H/UfFSS/+tbNfCHagO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Zk40paJvmQW6KUzdoM/oax0nPijoq+5QQviU4h16qyaEILYE4EpV3i60lw1QKUkgpABs80ljegw6BGaUrAOjQ==" saltValue="+HoCduxpGqYdoRmpbQKO1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RONDA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0.1955193482688391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0.1382530570140704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kDuiooH4w5zm9y2b4I/LPbZlswP8110nmYiyIeQ4Mr6v0+6k8ZQ3nxE/eG3Khvp2IjSkFmR/Os1S1xGA62TF/g==" saltValue="q9NoudUwExhyq7l4STAE2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hxvY9sEm9l9xLYJDbUinqgjF6bi9dcBd4k+lzfsez2FtqRIh0U0N5wN/Q99Cpw3SilY5zn/ir5I570rpK1wOQ==" saltValue="7gS6qq/fiCRF3qXeCXaQ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RONDA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1</v>
      </c>
      <c r="H10" s="452">
        <f>IF(ISNUMBER(G10/B10),G10/B10," - ")</f>
        <v>1</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1007</v>
      </c>
      <c r="D12" s="452">
        <f>IF(ISNUMBER(C12/Datos!BH12),C12/Datos!BH12," - ")</f>
        <v>335.66666666666669</v>
      </c>
      <c r="E12" s="451">
        <f>IF(ISNUMBER(IF(J_V="SI",Datos!J12,Datos!J12+Datos!Z12)),IF(J_V="SI",Datos!J12,Datos!J12+Datos!Z12)," - ")</f>
        <v>510</v>
      </c>
      <c r="F12" s="452">
        <f>IF(ISNUMBER(E12/B12),E12/B12," - ")</f>
        <v>170</v>
      </c>
      <c r="G12" s="451">
        <f>IF(ISNUMBER(IF(J_V="SI",Datos!K12,Datos!K12+Datos!AA12)),IF(J_V="SI",Datos!K12,Datos!K12+Datos!AA12)," - ")</f>
        <v>490</v>
      </c>
      <c r="H12" s="452">
        <f>IF(ISNUMBER(G12/B12),G12/B12," - ")</f>
        <v>163.33333333333334</v>
      </c>
      <c r="I12" s="451">
        <f>IF(ISNUMBER(IF(J_V="SI",Datos!L12,Datos!L12+Datos!AB12)),IF(J_V="SI",Datos!L12,Datos!L12+Datos!AB12)," - ")</f>
        <v>1233</v>
      </c>
      <c r="J12" s="452">
        <f>IF(ISNUMBER(I12/B12),I12/B12," - ")</f>
        <v>411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1007</v>
      </c>
      <c r="D14" s="1147" t="str">
        <f>IF(ISNUMBER(C14/Datos!BI14),C14/Datos!BI14," - ")</f>
        <v xml:space="preserve"> - </v>
      </c>
      <c r="E14" s="1146">
        <f>SUBTOTAL(9,E8:E13)</f>
        <v>511</v>
      </c>
      <c r="F14" s="1147">
        <f>IF(ISNUMBER(E14/B14),E14/B14," - ")</f>
        <v>170.33333333333334</v>
      </c>
      <c r="G14" s="1146">
        <f>SUBTOTAL(9,G8:G13)</f>
        <v>491</v>
      </c>
      <c r="H14" s="1147">
        <f>IF(ISNUMBER(G14/B14),G14/B14," - ")</f>
        <v>163.66666666666666</v>
      </c>
      <c r="I14" s="1146">
        <f>SUBTOTAL(9,I8:I13)</f>
        <v>1233</v>
      </c>
      <c r="J14" s="1147">
        <f>IF(ISNUMBER(I14/B14),I14/B14," - ")</f>
        <v>411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633</v>
      </c>
      <c r="D17" s="452">
        <f>IF(ISNUMBER(C17/Datos!BH17),C17/Datos!BH17," - ")</f>
        <v>211</v>
      </c>
      <c r="E17" s="451">
        <f>IF(ISNUMBER(IF(D_I="SI",Datos!J17,Datos!J17+Datos!AD17)),IF(D_I="SI",Datos!J17,Datos!J17+Datos!AD17)," - ")</f>
        <v>573</v>
      </c>
      <c r="F17" s="452">
        <f>IF(ISNUMBER(E17/B17),E17/B17," - ")</f>
        <v>191</v>
      </c>
      <c r="G17" s="451">
        <f>IF(ISNUMBER(IF(D_I="SI",Datos!K17,Datos!K17+Datos!AE17)),IF(D_I="SI",Datos!K17,Datos!K17+Datos!AE17)," - ")</f>
        <v>627</v>
      </c>
      <c r="H17" s="452">
        <f>IF(ISNUMBER(G17/B17),G17/B17," - ")</f>
        <v>209</v>
      </c>
      <c r="I17" s="451">
        <f>IF(ISNUMBER(IF(D_I="SI",Datos!L17,Datos!L17+Datos!AF17)),IF(D_I="SI",Datos!L17,Datos!L17+Datos!AF17)," - ")</f>
        <v>556</v>
      </c>
      <c r="J17" s="452">
        <f>IF(ISNUMBER(I17/B17),I17/B17," - ")</f>
        <v>185.33333333333334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v>
      </c>
      <c r="D18" s="452">
        <f>IF(ISNUMBER(C18/Datos!BH18),C18/Datos!BH18," - ")</f>
        <v>7</v>
      </c>
      <c r="E18" s="451">
        <f>IF(ISNUMBER(IF(D_I="SI",Datos!J18,Datos!J18+Datos!AD18)),IF(D_I="SI",Datos!J18,Datos!J18+Datos!AD18)," - ")</f>
        <v>34</v>
      </c>
      <c r="F18" s="452">
        <f>IF(ISNUMBER(E18/B18),E18/B18," - ")</f>
        <v>34</v>
      </c>
      <c r="G18" s="451">
        <f>IF(ISNUMBER(IF(D_I="SI",Datos!K18,Datos!K18+Datos!AE18)),IF(D_I="SI",Datos!K18,Datos!K18+Datos!AE18)," - ")</f>
        <v>19</v>
      </c>
      <c r="H18" s="452">
        <f>IF(ISNUMBER(G18/B18),G18/B18," - ")</f>
        <v>19</v>
      </c>
      <c r="I18" s="451">
        <f>IF(ISNUMBER(IF(D_I="SI",Datos!L18,Datos!L18+Datos!AF18)),IF(D_I="SI",Datos!L18,Datos!L18+Datos!AF18)," - ")</f>
        <v>22</v>
      </c>
      <c r="J18" s="452">
        <f>IF(ISNUMBER(I18/B18),I18/B18," - ")</f>
        <v>22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640</v>
      </c>
      <c r="D23" s="1147" t="str">
        <f>IF(ISNUMBER(C23/Datos!BI23),C23/Datos!BI23," - ")</f>
        <v xml:space="preserve"> - </v>
      </c>
      <c r="E23" s="1146">
        <f>SUBTOTAL(9,E15:E22)</f>
        <v>607</v>
      </c>
      <c r="F23" s="1147">
        <f>IF(ISNUMBER(E23/B23),E23/B23," - ")</f>
        <v>202.33333333333334</v>
      </c>
      <c r="G23" s="1146">
        <f>SUBTOTAL(9,G15:G22)</f>
        <v>646</v>
      </c>
      <c r="H23" s="1147">
        <f>IF(ISNUMBER(G23/B23),G23/B23," - ")</f>
        <v>215.33333333333334</v>
      </c>
      <c r="I23" s="1146">
        <f>SUBTOTAL(9,I15:I22)</f>
        <v>578</v>
      </c>
      <c r="J23" s="1147">
        <f>IF(ISNUMBER(I23/B23),I23/B23," - ")</f>
        <v>192.66666666666666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1647</v>
      </c>
      <c r="D31" s="1085" t="str">
        <f>IF(ISNUMBER(C31/Datos!BI31),C31/Datos!BI31," - ")</f>
        <v xml:space="preserve"> - </v>
      </c>
      <c r="E31" s="1084">
        <f>SUBTOTAL(9,E9:E30)</f>
        <v>1118</v>
      </c>
      <c r="F31" s="1085">
        <f>IF(ISNUMBER(E31/B31),E31/B31," - ")</f>
        <v>372.66666666666669</v>
      </c>
      <c r="G31" s="1084">
        <f>SUBTOTAL(9,G9:G30)</f>
        <v>1137</v>
      </c>
      <c r="H31" s="1085">
        <f>IF(ISNUMBER(G31/B31),G31/B31," - ")</f>
        <v>379</v>
      </c>
      <c r="I31" s="1084">
        <f>SUBTOTAL(9,I9:I30)</f>
        <v>1811</v>
      </c>
      <c r="J31" s="1085">
        <f>IF(ISNUMBER(I31/B31),I31/B31," - ")</f>
        <v>603.66666666666663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XC9m/xUYEaSmZIyQ88kljMqkPxjNe8nYjs9aKE2KYx3UCPZxLbLs0N1j6RryKmhFmaig0MZEfPyRC23NI+EqEQ==" saltValue="fPcSz+iAZC8qDeHdMui2B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RONDA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1963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96</v>
      </c>
      <c r="AM12" s="914">
        <f>IF(ISNUMBER(Datos!N12+DatosP!N17),Datos!N12+DatosP!N17," - ")</f>
        <v>230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7.5489795918367353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4.2485395645246948E-2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155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75</v>
      </c>
      <c r="AE14" s="1257">
        <f t="shared" si="1"/>
        <v>0</v>
      </c>
      <c r="AF14" s="1257">
        <f t="shared" si="1"/>
        <v>0</v>
      </c>
      <c r="AG14" s="1257">
        <f t="shared" si="1"/>
        <v>0</v>
      </c>
      <c r="AH14" s="1257">
        <f t="shared" si="1"/>
        <v>1963</v>
      </c>
      <c r="AI14" s="1257">
        <f t="shared" si="1"/>
        <v>0</v>
      </c>
      <c r="AJ14" s="1257">
        <f t="shared" si="1"/>
        <v>0</v>
      </c>
      <c r="AK14" s="1257">
        <f t="shared" si="1"/>
        <v>0</v>
      </c>
      <c r="AL14" s="1257">
        <f t="shared" si="1"/>
        <v>96</v>
      </c>
      <c r="AM14" s="1257">
        <f t="shared" si="1"/>
        <v>230</v>
      </c>
      <c r="AN14" s="1257">
        <f t="shared" si="1"/>
        <v>0</v>
      </c>
      <c r="AO14" s="1257">
        <f t="shared" si="1"/>
        <v>0</v>
      </c>
      <c r="AP14" s="1262">
        <f>IF(ISNUMBER(((Datos!L14/Datos!K14)*11)/factor_trimestre),((Datos!L14/Datos!K14)*11)/factor_trimestre," - ")</f>
        <v>7.7623318385650224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4.2485395645246948E-2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2.6842105263157898</v>
      </c>
      <c r="AQ23" s="1262">
        <f>IF(ISNUMBER(((Datos!M23/Datos!L23)*11)/factor_trimestre),((Datos!M23/Datos!L23)*11)/factor_trimestre," - ")</f>
        <v>0.51384083044982698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0.10457516339869281</v>
      </c>
      <c r="AW23" s="1265">
        <f>IF(ISNUMBER((Datos!Q23-Datos!R23)/(Datos!S23-Datos!Q23+Datos!R23)),(Datos!Q23-Datos!R23)/(Datos!S23-Datos!Q23+Datos!R23)," - ")</f>
        <v>-0.1807081807081807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155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75</v>
      </c>
      <c r="AE31" s="1284">
        <f t="shared" si="9"/>
        <v>0</v>
      </c>
      <c r="AF31" s="1285">
        <f t="shared" si="9"/>
        <v>0</v>
      </c>
      <c r="AG31" s="1285">
        <f t="shared" si="9"/>
        <v>0</v>
      </c>
      <c r="AH31" s="1285">
        <f t="shared" si="9"/>
        <v>1963</v>
      </c>
      <c r="AI31" s="1285">
        <f t="shared" si="9"/>
        <v>0</v>
      </c>
      <c r="AJ31" s="1286">
        <f t="shared" si="9"/>
        <v>0</v>
      </c>
      <c r="AK31" s="1286">
        <f t="shared" si="9"/>
        <v>0</v>
      </c>
      <c r="AL31" s="1278">
        <f t="shared" si="9"/>
        <v>96</v>
      </c>
      <c r="AM31" s="1278">
        <f t="shared" si="9"/>
        <v>230</v>
      </c>
      <c r="AN31" s="1278">
        <f t="shared" si="9"/>
        <v>0</v>
      </c>
      <c r="AO31" s="1278">
        <f t="shared" si="9"/>
        <v>0</v>
      </c>
      <c r="AP31" s="1278">
        <f>IF(ISNUMBER(((Datos!L31/Datos!K31)*11)/factor_trimestre),((Datos!L31/Datos!K31)*11)/factor_trimestre," - ")</f>
        <v>4.7582417582417582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4.7151277013752456E-2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49.574186831454938</v>
      </c>
      <c r="AM33" s="1006"/>
      <c r="AN33" s="1006">
        <f>IF(ISNUMBER(STDEV(AN8:AN30)),STDEV(AN8:AN30),"-")</f>
        <v>0</v>
      </c>
      <c r="AO33" s="1012">
        <f>IF(ISNUMBER(STDEV(AO8:AO30)),STDEV(AO8:AO30),"-")</f>
        <v>0</v>
      </c>
      <c r="AP33" s="1065">
        <f>IF(ISNUMBER(STDEV(AP8:AP30)),STDEV(AP8:AP30),"-")</f>
        <v>3.8072812686516171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8lhSchOFdg/e6l6N+CS/0E+qHTsYgSGi6ykKtCMcKcrqc9oFQYy7Qt2RnreP6M+P23+7K5HVMwX3QNl//pmgQ==" saltValue="YD3VzQYxM32LavrhC7mz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RONDA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plt+ArAj/iGqUV8PDSQ0EqIqR3fS/pwBv3vYW6qCY4ZBaNe9niuAfkM17zSnrg7yHo88jTDdJyyyh+n0NfWBXw==" saltValue="22Kvpj61vJIR39xLKw/Nb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RONDA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96</v>
      </c>
      <c r="E12" s="452">
        <f t="shared" si="0"/>
        <v>32</v>
      </c>
      <c r="F12" s="451">
        <f>IF(ISNUMBER(Datos!N12),Datos!N12," - ")</f>
        <v>230</v>
      </c>
      <c r="G12" s="452">
        <f t="shared" si="1"/>
        <v>76.666666666666671</v>
      </c>
      <c r="H12" s="451">
        <f>IF(ISNUMBER(Datos!O12),Datos!O12," - ")</f>
        <v>229</v>
      </c>
      <c r="I12" s="452">
        <f t="shared" si="2"/>
        <v>76.333333333333329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96</v>
      </c>
      <c r="E14" s="1147">
        <f t="shared" si="0"/>
        <v>24</v>
      </c>
      <c r="F14" s="1146">
        <f>SUBTOTAL(9,F9:F13)</f>
        <v>230</v>
      </c>
      <c r="G14" s="1147">
        <f t="shared" si="1"/>
        <v>57.5</v>
      </c>
      <c r="H14" s="1146">
        <f>SUBTOTAL(9,H9:H13)</f>
        <v>229</v>
      </c>
      <c r="I14" s="1147">
        <f>IF(ISNUMBER(H14/B14),H14/B14," - ")</f>
        <v>57.25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98</v>
      </c>
      <c r="E17" s="452">
        <f t="shared" si="3"/>
        <v>32.666666666666664</v>
      </c>
      <c r="F17" s="451">
        <f>IF(ISNUMBER(Datos!N17),Datos!N17," - ")</f>
        <v>379</v>
      </c>
      <c r="G17" s="452">
        <f t="shared" si="4"/>
        <v>126.33333333333333</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99</v>
      </c>
      <c r="E23" s="1147">
        <f t="shared" si="3"/>
        <v>24.75</v>
      </c>
      <c r="F23" s="1146">
        <f>SUBTOTAL(9,F16:F22)</f>
        <v>395</v>
      </c>
      <c r="G23" s="1147">
        <f t="shared" si="4"/>
        <v>98.75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195</v>
      </c>
      <c r="E31" s="1085">
        <f>IF(ISNUMBER(D31/B31),D31/B31," - ")</f>
        <v>65</v>
      </c>
      <c r="F31" s="1084">
        <f>SUBTOTAL(9,F8:F30)</f>
        <v>625</v>
      </c>
      <c r="G31" s="1085">
        <f>IF(ISNUMBER(F31/B31),F31/B31," - ")</f>
        <v>208.33333333333334</v>
      </c>
      <c r="H31" s="1084">
        <f>SUBTOTAL(9,H8:H30)</f>
        <v>229</v>
      </c>
      <c r="I31" s="1085">
        <f>IF(ISNUMBER(H31/B31),H31/B31," - ")</f>
        <v>76.333333333333329</v>
      </c>
    </row>
    <row r="34" spans="1:1">
      <c r="A34" s="439" t="str">
        <f>Criterios!A4</f>
        <v>Fecha Informe: 05 may. 2023</v>
      </c>
    </row>
    <row r="39" spans="1:1">
      <c r="A39" s="462"/>
    </row>
  </sheetData>
  <sheetProtection algorithmName="SHA-512" hashValue="w0r3TjWNA+nWFKZaHm3XX5Fm2dx2AYdLtMX1/5l+8KujYom+u21eTmlN+wJxXZrlUn75BO5kVNNnSUS/UDg7yw==" saltValue="wxq/0N6xRq724A+xXrxz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RONDA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155</v>
      </c>
      <c r="C12" s="489">
        <f>IF(ISNUMBER(Datos!Q12),Datos!Q12," - ")</f>
        <v>75</v>
      </c>
      <c r="D12" s="456">
        <f>IF(ISNUMBER(Datos!R12),Datos!R12," - ")</f>
        <v>1963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155</v>
      </c>
      <c r="C14" s="1150">
        <f>SUBTOTAL(9,C9:C13)</f>
        <v>75</v>
      </c>
      <c r="D14" s="1148">
        <f>SUBTOTAL(9,D9:D13)</f>
        <v>1963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36</v>
      </c>
      <c r="C17" s="489">
        <f>IF(ISNUMBER(Datos!Q17),Datos!Q17," - ")</f>
        <v>9</v>
      </c>
      <c r="D17" s="456">
        <f>IF(ISNUMBER(Datos!R17),Datos!R17," - ")</f>
        <v>163</v>
      </c>
    </row>
    <row r="18" spans="1:4">
      <c r="A18" s="450" t="str">
        <f>Datos!A18</f>
        <v>Jdos. Violencia contra la mujer</v>
      </c>
      <c r="B18" s="488">
        <f>IF(ISNUMBER(Datos!P18),Datos!P18," - ")</f>
        <v>1</v>
      </c>
      <c r="C18" s="489">
        <f>IF(ISNUMBER(Datos!Q18),Datos!Q18," - ")</f>
        <v>12</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37</v>
      </c>
      <c r="C23" s="1150">
        <f>SUBTOTAL(9,C16:C22)</f>
        <v>21</v>
      </c>
      <c r="D23" s="1148">
        <f>SUBTOTAL(9,D16:D22)</f>
        <v>169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192</v>
      </c>
      <c r="C31" s="1089">
        <f>SUBTOTAL(9,C8:C30)</f>
        <v>96</v>
      </c>
      <c r="D31" s="1090">
        <f>SUBTOTAL(9,D8:D30)</f>
        <v>2132</v>
      </c>
    </row>
    <row r="32" spans="1:4" ht="7.5" customHeight="1"/>
    <row r="33" spans="1:1" ht="6" customHeight="1"/>
    <row r="34" spans="1:1">
      <c r="A34" s="439" t="str">
        <f>Criterios!A4</f>
        <v>Fecha Informe: 05 may. 2023</v>
      </c>
    </row>
    <row r="39" spans="1:1">
      <c r="A39" s="462"/>
    </row>
  </sheetData>
  <sheetProtection algorithmName="SHA-512" hashValue="CxiqFl5+C1cq6vkoUfln+yzjPSW5w2ZqmI1oOx7PjLJugwjRKl1td0SVwG08azhoUo8I4GFraxs3o+4dWNOYnw==" saltValue="4Fh/d8CWG3RLImD2slJ+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RONDA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-0.5</v>
      </c>
      <c r="D10" s="515">
        <f>IF(ISNUMBER((Datos!K10-Datos!U10)/Datos!U10),(Datos!K10-Datos!U10)/Datos!U10," - ")</f>
        <v>-0.5</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2.0263424518743668E-2</v>
      </c>
      <c r="C12" s="515">
        <f>IF(ISNUMBER(
   IF(J_V="SI",(Datos!J12-Datos!T12)/Datos!T12,(Datos!J12+Datos!Z12-(Datos!T12+Datos!AH12))/(Datos!T12+Datos!AH12))
     ),IF(J_V="SI",(Datos!J12-Datos!T12)/Datos!T12,(Datos!J12+Datos!Z12-(Datos!T12+Datos!AH12))/(Datos!T12+Datos!AH12))," - ")</f>
        <v>7.3684210526315783E-2</v>
      </c>
      <c r="D12" s="515">
        <f>IF(ISNUMBER(
   IF(J_V="SI",(Datos!K12-Datos!U12)/Datos!U12,(Datos!K12+Datos!AA12-(Datos!U12+Datos!AI12))/(Datos!U12+Datos!AI12))
     ),IF(J_V="SI",(Datos!K12-Datos!U12)/Datos!U12,(Datos!K12+Datos!AA12-(Datos!U12+Datos!AI12))/(Datos!U12+Datos!AI12))," - ")</f>
        <v>-6.1302681992337162E-2</v>
      </c>
      <c r="E12" s="515">
        <f>IF(ISNUMBER(
   IF(J_V="SI",(Datos!L12-Datos!V12)/Datos!V12,(Datos!L12+Datos!AB12-(Datos!V12+Datos!AJ12))/(Datos!V12+Datos!AJ12))
     ),IF(J_V="SI",(Datos!L12-Datos!V12)/Datos!V12,(Datos!L12+Datos!AB12-(Datos!V12+Datos!AJ12))/(Datos!V12+Datos!AJ12))," - ")</f>
        <v>0.31170212765957445</v>
      </c>
      <c r="F12" s="515">
        <f>IF(ISNUMBER((Datos!M12-Datos!W12)/Datos!W12),(Datos!M12-Datos!W12)/Datos!W12," - ")</f>
        <v>-0.28358208955223879</v>
      </c>
      <c r="G12" s="516">
        <f>IF(ISNUMBER((Datos!N12-Datos!X12)/Datos!X12),(Datos!N12-Datos!X12)/Datos!X12," - ")</f>
        <v>4.072398190045249E-2</v>
      </c>
      <c r="H12" s="514">
        <f>IF(ISNUMBER(((NºAsuntos!G12/NºAsuntos!E12)-Datos!BD12)/Datos!BD12),((NºAsuntos!G12/NºAsuntos!E12)-Datos!BD12)/Datos!BD12," - ")</f>
        <v>-0.12572308616933364</v>
      </c>
      <c r="I12" s="515">
        <f>IF(ISNUMBER(((NºAsuntos!I12/NºAsuntos!G12)-Datos!BE12)/Datos!BE12),((NºAsuntos!I12/NºAsuntos!G12)-Datos!BE12)/Datos!BE12," - ")</f>
        <v>0.39736430742509771</v>
      </c>
      <c r="J12" s="521">
        <f>IF(ISNUMBER((('Resol  Asuntos'!D12/NºAsuntos!G12)-Datos!BF12)/Datos!BF12),(('Resol  Asuntos'!D12/NºAsuntos!G12)-Datos!BF12)/Datos!BF12," - ")</f>
        <v>-0.53724258934342972</v>
      </c>
      <c r="K12" s="522">
        <f>IF(ISNUMBER((((NºAsuntos!C12+NºAsuntos!E12)/NºAsuntos!G12)-Datos!BG12)/Datos!BG12),(((NºAsuntos!C12+NºAsuntos!E12)/NºAsuntos!G12)-Datos!BG12)/Datos!BG12," - ")</f>
        <v>0.10538261816354447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2.0263424518743668E-2</v>
      </c>
      <c r="C14" s="1152">
        <f>IF(ISNUMBER(
   IF(J_V="SI",(Datos!J14-Datos!T14)/Datos!T14,(Datos!J14+Datos!Z14-(Datos!T14+Datos!AH14))/(Datos!T14+Datos!AH14))
     ),IF(J_V="SI",(Datos!J14-Datos!T14)/Datos!T14,(Datos!J14+Datos!Z14-(Datos!T14+Datos!AH14))/(Datos!T14+Datos!AH14))," - ")</f>
        <v>7.1278825995807121E-2</v>
      </c>
      <c r="D14" s="1152">
        <f>IF(ISNUMBER(
   IF(J_V="SI",(Datos!K14-Datos!U14)/Datos!U14,(Datos!K14+Datos!AA14-(Datos!U14+Datos!AI14))/(Datos!U14+Datos!AI14))
     ),IF(J_V="SI",(Datos!K14-Datos!U14)/Datos!U14,(Datos!K14+Datos!AA14-(Datos!U14+Datos!AI14))/(Datos!U14+Datos!AI14))," - ")</f>
        <v>-6.2977099236641215E-2</v>
      </c>
      <c r="E14" s="1152">
        <f>IF(ISNUMBER(
   IF(J_V="SI",(Datos!L14-Datos!V14)/Datos!V14,(Datos!L14+Datos!AB14-(Datos!V14+Datos!AJ14))/(Datos!V14+Datos!AJ14))
     ),IF(J_V="SI",(Datos!L14-Datos!V14)/Datos!V14,(Datos!L14+Datos!AB14-(Datos!V14+Datos!AJ14))/(Datos!V14+Datos!AJ14))," - ")</f>
        <v>0.31170212765957445</v>
      </c>
      <c r="F14" s="1153">
        <f>IF(ISNUMBER((Datos!M14-Datos!W14)/Datos!W14),(Datos!M14-Datos!W14)/Datos!W14," - ")</f>
        <v>-0.28358208955223879</v>
      </c>
      <c r="G14" s="1154">
        <f>IF(ISNUMBER((Datos!N14-Datos!X14)/Datos!X14),(Datos!N14-Datos!X14)/Datos!X14," - ")</f>
        <v>4.072398190045249E-2</v>
      </c>
      <c r="H14" s="1154">
        <f>IF(ISNUMBER(((NºAsuntos!G14/NºAsuntos!E14)-Datos!BD14)/Datos!BD14),((NºAsuntos!G14/NºAsuntos!E14)-Datos!BD14)/Datos!BD14," - ")</f>
        <v>-0.12532304566708</v>
      </c>
      <c r="I14" s="1154">
        <f>IF(ISNUMBER(((NºAsuntos!I14/NºAsuntos!G14)-Datos!BE14)/Datos!BE14),((NºAsuntos!I14/NºAsuntos!G14)-Datos!BE14)/Datos!BE14," - ")</f>
        <v>0.39986133379555389</v>
      </c>
      <c r="J14" s="1154">
        <f>IF(ISNUMBER((('Resol  Asuntos'!D14/NºAsuntos!G14)-Datos!BF14)/Datos!BF14),(('Resol  Asuntos'!D14/NºAsuntos!G14)-Datos!BF14)/Datos!BF14," - ")</f>
        <v>-0.53641566292818244</v>
      </c>
      <c r="K14" s="1154">
        <f>IF(ISNUMBER((((NºAsuntos!C14+NºAsuntos!E14)/NºAsuntos!G14)-Datos!BG14)/Datos!BG14),(((NºAsuntos!C14+NºAsuntos!E14)/NºAsuntos!G14)-Datos!BG14)/Datos!BG14," - ")</f>
        <v>0.10657407098260493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-5.0974512743628186E-2</v>
      </c>
      <c r="C17" s="515">
        <f>IF(ISNUMBER(
   IF(D_I="SI",(Datos!J17-Datos!T17)/Datos!T17,(Datos!J17+Datos!AD17-(Datos!T17+Datos!AL17))/(Datos!T17+Datos!AL17))
     ),IF(D_I="SI",(Datos!J17-Datos!T17)/Datos!T17,(Datos!J17+Datos!AD17-(Datos!T17+Datos!AL17))/(Datos!T17+Datos!AL17))," - ")</f>
        <v>-5.7565789473684209E-2</v>
      </c>
      <c r="D17" s="515">
        <f>IF(ISNUMBER(
   IF(D_I="SI",(Datos!K17-Datos!U17)/Datos!U17,(Datos!K17+Datos!AE17-(Datos!U17+Datos!AM17))/(Datos!U17+Datos!AM17))
     ),IF(D_I="SI",(Datos!K17-Datos!U17)/Datos!U17,(Datos!K17+Datos!AE17-(Datos!U17+Datos!AM17))/(Datos!U17+Datos!AM17))," - ")</f>
        <v>1.4563106796116505E-2</v>
      </c>
      <c r="E17" s="515">
        <f>IF(ISNUMBER(
   IF(D_I="SI",(Datos!L17-Datos!V17)/Datos!V17,(Datos!L17+Datos!AF17-(Datos!V17+Datos!AN17))/(Datos!V17+Datos!AN17))
     ),IF(D_I="SI",(Datos!L17-Datos!V17)/Datos!V17,(Datos!L17+Datos!AF17-(Datos!V17+Datos!AN17))/(Datos!V17+Datos!AN17))," - ")</f>
        <v>-0.15372907153729071</v>
      </c>
      <c r="F17" s="515">
        <f>IF(ISNUMBER((Datos!M17-Datos!W17)/Datos!W17),(Datos!M17-Datos!W17)/Datos!W17," - ")</f>
        <v>0.11363636363636363</v>
      </c>
      <c r="G17" s="516">
        <f>IF(ISNUMBER((Datos!N17-Datos!X17)/Datos!X17),(Datos!N17-Datos!X17)/Datos!X17," - ")</f>
        <v>-7.8534031413612562E-3</v>
      </c>
      <c r="H17" s="514">
        <f>IF(ISNUMBER(((NºAsuntos!G17/NºAsuntos!E17)-Datos!BD17)/Datos!BD17),((NºAsuntos!G17/NºAsuntos!E17)-Datos!BD17)/Datos!BD17," - ")</f>
        <v>7.6534675274064254E-2</v>
      </c>
      <c r="I17" s="515">
        <f>IF(ISNUMBER(((NºAsuntos!I17/NºAsuntos!G17)-Datos!BE17)/Datos!BE17),((NºAsuntos!I17/NºAsuntos!G17)-Datos!BE17)/Datos!BE17," - ")</f>
        <v>-0.1658765011324492</v>
      </c>
      <c r="J17" s="521">
        <f>IF(ISNUMBER((('Resol  Asuntos'!D17/NºAsuntos!G17)-Datos!BF17)/Datos!BF17),(('Resol  Asuntos'!D17/NºAsuntos!G17)-Datos!BF17)/Datos!BF17," - ")</f>
        <v>9.7651152675076125E-2</v>
      </c>
      <c r="K17" s="522">
        <f>IF(ISNUMBER((((NºAsuntos!C17+NºAsuntos!E17)/NºAsuntos!G17)-Datos!BG17)/Datos!BG17),(((NºAsuntos!C17+NºAsuntos!E17)/NºAsuntos!G17)-Datos!BG17)/Datos!BG17," - ")</f>
        <v>-6.7694905713481635E-2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0.75</v>
      </c>
      <c r="C18" s="515">
        <f>IF(ISNUMBER(
   IF(D_I="SI",(Datos!J18-Datos!T18)/Datos!T18,(Datos!J18+Datos!AD18-(Datos!T18+Datos!AL18))/(Datos!T18+Datos!AL18))
     ),IF(D_I="SI",(Datos!J18-Datos!T18)/Datos!T18,(Datos!J18+Datos!AD18-(Datos!T18+Datos!AL18))/(Datos!T18+Datos!AL18))," - ")</f>
        <v>-0.24444444444444444</v>
      </c>
      <c r="D18" s="515">
        <f>IF(ISNUMBER(
   IF(D_I="SI",(Datos!K18-Datos!U18)/Datos!U18,(Datos!K18+Datos!AE18-(Datos!U18+Datos!AM18))/(Datos!U18+Datos!AM18))
     ),IF(D_I="SI",(Datos!K18-Datos!U18)/Datos!U18,(Datos!K18+Datos!AE18-(Datos!U18+Datos!AM18))/(Datos!U18+Datos!AM18))," - ")</f>
        <v>-0.54761904761904767</v>
      </c>
      <c r="E18" s="515">
        <f>IF(ISNUMBER(
   IF(D_I="SI",(Datos!L18-Datos!V18)/Datos!V18,(Datos!L18+Datos!AF18-(Datos!V18+Datos!AN18))/(Datos!V18+Datos!AN18))
     ),IF(D_I="SI",(Datos!L18-Datos!V18)/Datos!V18,(Datos!L18+Datos!AF18-(Datos!V18+Datos!AN18))/(Datos!V18+Datos!AN18))," - ")</f>
        <v>2.1428571428571428</v>
      </c>
      <c r="F18" s="515">
        <f>IF(ISNUMBER((Datos!M18-Datos!W18)/Datos!W18),(Datos!M18-Datos!W18)/Datos!W18," - ")</f>
        <v>-0.66666666666666663</v>
      </c>
      <c r="G18" s="516">
        <f>IF(ISNUMBER((Datos!N18-Datos!X18)/Datos!X18),(Datos!N18-Datos!X18)/Datos!X18," - ")</f>
        <v>-0.56756756756756754</v>
      </c>
      <c r="H18" s="514">
        <f>IF(ISNUMBER(((NºAsuntos!G18/NºAsuntos!E18)-Datos!BD18)/Datos!BD18),((NºAsuntos!G18/NºAsuntos!E18)-Datos!BD18)/Datos!BD18," - ")</f>
        <v>-0.40126050420168069</v>
      </c>
      <c r="I18" s="515">
        <f>IF(ISNUMBER(((NºAsuntos!I18/NºAsuntos!G18)-Datos!BE18)/Datos!BE18),((NºAsuntos!I18/NºAsuntos!G18)-Datos!BE18)/Datos!BE18," - ")</f>
        <v>5.9473684210526327</v>
      </c>
      <c r="J18" s="521">
        <f>IF(ISNUMBER((('Resol  Asuntos'!D18/NºAsuntos!G18)-Datos!BF18)/Datos!BF18),(('Resol  Asuntos'!D18/NºAsuntos!G18)-Datos!BF18)/Datos!BF18," - ")</f>
        <v>-0.26315789473684209</v>
      </c>
      <c r="K18" s="522">
        <f>IF(ISNUMBER((((NºAsuntos!C18+NºAsuntos!E18)/NºAsuntos!G18)-Datos!BG18)/Datos!BG18),(((NºAsuntos!C18+NºAsuntos!E18)/NºAsuntos!G18)-Datos!BG18)/Datos!BG18," - ")</f>
        <v>0.84962406015037584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-4.6199701937406856E-2</v>
      </c>
      <c r="C23" s="1152">
        <f>IF(ISNUMBER(
   IF(Criterios!B14="SI",(Datos!J23-Datos!T23)/Datos!T23,(Datos!J23+Datos!AD23-(Datos!T23+Datos!AL23))/(Datos!T23+Datos!AL23))
     ),IF(Criterios!B14="SI",(Datos!J23-Datos!T23)/Datos!T23,(Datos!J23+Datos!AD23-(Datos!T23+Datos!AL23))/(Datos!T23+Datos!AL23))," - ")</f>
        <v>-7.0444104134762639E-2</v>
      </c>
      <c r="D23" s="1152">
        <f>IF(ISNUMBER(
   IF(Criterios!B14="SI",(Datos!K23-Datos!U23)/Datos!U23,(Datos!K23+Datos!AE23-(Datos!U23+Datos!AM23))/(Datos!U23+Datos!AM23))
     ),IF(Criterios!B14="SI",(Datos!K23-Datos!U23)/Datos!U23,(Datos!K23+Datos!AE23-(Datos!U23+Datos!AM23))/(Datos!U23+Datos!AM23))," - ")</f>
        <v>-2.1212121212121213E-2</v>
      </c>
      <c r="E23" s="1152">
        <f>IF(ISNUMBER(
   IF(Criterios!B14="SI",(Datos!L23-Datos!V23)/Datos!V23,(Datos!L23+Datos!AF23-(Datos!V23+Datos!AN23))/(Datos!V23+Datos!AN23))
     ),IF(Criterios!B14="SI",(Datos!L23-Datos!V23)/Datos!V23,(Datos!L23+Datos!AF23-(Datos!V23+Datos!AN23))/(Datos!V23+Datos!AN23))," - ")</f>
        <v>-0.12951807228915663</v>
      </c>
      <c r="F23" s="1153">
        <f>IF(ISNUMBER((Datos!M23-Datos!W23)/Datos!W23),(Datos!M23-Datos!W23)/Datos!W23," - ")</f>
        <v>8.7912087912087919E-2</v>
      </c>
      <c r="G23" s="1154">
        <f>IF(ISNUMBER((Datos!N23-Datos!X23)/Datos!X23),(Datos!N23-Datos!X23)/Datos!X23," - ")</f>
        <v>-5.7279236276849645E-2</v>
      </c>
      <c r="H23" s="1154">
        <f>IF(ISNUMBER(((NºAsuntos!G23/NºAsuntos!E23)-Datos!BD23)/Datos!BD23),((NºAsuntos!G23/NºAsuntos!E23)-Datos!BD23)/Datos!BD23," - ")</f>
        <v>5.2962907493385322E-2</v>
      </c>
      <c r="I23" s="1154">
        <f>IF(ISNUMBER(((NºAsuntos!I23/NºAsuntos!G23)-Datos!BE23)/Datos!BE23),((NºAsuntos!I23/NºAsuntos!G23)-Datos!BE23)/Datos!BE23," - ")</f>
        <v>-0.11065313887127461</v>
      </c>
      <c r="J23" s="1154">
        <f>IF(ISNUMBER((('Resol  Asuntos'!D23/NºAsuntos!G23)-Datos!BF23)/Datos!BF23),(('Resol  Asuntos'!D23/NºAsuntos!G23)-Datos!BF23)/Datos!BF23," - ")</f>
        <v>0.11148913006498141</v>
      </c>
      <c r="K23" s="1154">
        <f>IF(ISNUMBER((((NºAsuntos!C23+NºAsuntos!E23)/NºAsuntos!G23)-Datos!BG23)/Datos!BG23),(((NºAsuntos!C23+NºAsuntos!E23)/NºAsuntos!G23)-Datos!BG23)/Datos!BG23," - ")</f>
        <v>-3.7745643654185985E-2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-6.6344993968636915E-3</v>
      </c>
      <c r="C31" s="1092">
        <f>IF(ISNUMBER(
   IF(J_V="SI",(Datos!J31-Datos!T31)/Datos!T31,(Datos!J31+Datos!Z31-(Datos!T31+Datos!AH31))/(Datos!T31+Datos!AH31))
     ),IF(J_V="SI",(Datos!J31-Datos!T31)/Datos!T31,(Datos!J31+Datos!Z31-(Datos!T31+Datos!AH31))/(Datos!T31+Datos!AH31))," - ")</f>
        <v>-1.0619469026548672E-2</v>
      </c>
      <c r="D31" s="1092">
        <f>IF(ISNUMBER(
   IF(J_V="SI",(Datos!K31-Datos!U31)/Datos!U31,(Datos!K31+Datos!AA31-(Datos!U31+Datos!AI31))/(Datos!U31+Datos!AI31))
     ),IF(J_V="SI",(Datos!K31-Datos!U31)/Datos!U31,(Datos!K31+Datos!AA31-(Datos!U31+Datos!AI31))/(Datos!U31+Datos!AI31))," - ")</f>
        <v>-3.9695945945945943E-2</v>
      </c>
      <c r="E31" s="1092">
        <f>IF(ISNUMBER(
   IF(J_V="SI",(Datos!L31-Datos!V31)/Datos!V31,(Datos!L31+Datos!AB31-(Datos!V31+Datos!AJ31))/(Datos!V31+Datos!AJ31))
     ),IF(J_V="SI",(Datos!L31-Datos!V31)/Datos!V31,(Datos!L31+Datos!AB31-(Datos!V31+Datos!AJ31))/(Datos!V31+Datos!AJ31))," - ")</f>
        <v>0.12905236907730674</v>
      </c>
      <c r="F31" s="1093">
        <f>IF(ISNUMBER((Datos!M31-Datos!W31)/Datos!W31),(Datos!M31-Datos!W31)/Datos!W31," - ")</f>
        <v>-0.13333333333333333</v>
      </c>
      <c r="G31" s="1094">
        <f>IF(ISNUMBER((Datos!N31-Datos!X31)/Datos!X31),(Datos!N31-Datos!X31)/Datos!X31," - ")</f>
        <v>-2.34375E-2</v>
      </c>
      <c r="H31" s="1095">
        <f>IF(ISNUMBER((Tasas!B31-Datos!BD31)/Datos!BD31),(Tasas!B31-Datos!BD31)/Datos!BD31," - ")</f>
        <v>-2.9388567906009806E-2</v>
      </c>
      <c r="I31" s="1096">
        <f>IF(ISNUMBER((Tasas!C31-Datos!BE31)/Datos!BE31),(Tasas!C31-Datos!BE31)/Datos!BE31," - ")</f>
        <v>0.17572383903916536</v>
      </c>
      <c r="J31" s="1097">
        <f>IF(ISNUMBER((Tasas!D31-Datos!BF31)/Datos!BF31),(Tasas!D31-Datos!BF31)/Datos!BF31," - ")</f>
        <v>-0.34916446789797706</v>
      </c>
      <c r="K31" s="1097">
        <f>IF(ISNUMBER((Tasas!E31-Datos!BG31)/Datos!BG31),(Tasas!E31-Datos!BG31)/Datos!BG31," - ")</f>
        <v>3.274619584625154E-2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i6E7MCIQfr0Xsm7GxL94wT+ER74c6eAnxUqRUJDsiPvI2CH5E0w4M6AvS+SU0xqerujHiwLqg0wn0AJgeXPCQ==" saltValue="fTDZpuHd+1ud0otfqc0NO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RONDA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v>
      </c>
      <c r="D10" s="499">
        <f>IF(ISNUMBER('Resol  Asuntos'!D10/NºAsuntos!G10),'Resol  Asuntos'!D10/NºAsuntos!G10," - ")</f>
        <v>0</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0.96078431372549022</v>
      </c>
      <c r="C12" s="498">
        <f>IF(ISNUMBER(NºAsuntos!I12/NºAsuntos!G12),NºAsuntos!I12/NºAsuntos!G12," - ")</f>
        <v>2.5163265306122451</v>
      </c>
      <c r="D12" s="499">
        <f>IF(ISNUMBER('Resol  Asuntos'!D12/NºAsuntos!G12),'Resol  Asuntos'!D12/NºAsuntos!G12," - ")</f>
        <v>0.19591836734693877</v>
      </c>
      <c r="E12" s="500">
        <f>IF(ISNUMBER((NºAsuntos!C12+NºAsuntos!E12)/NºAsuntos!G12),(NºAsuntos!C12+NºAsuntos!E12)/NºAsuntos!G12," - ")</f>
        <v>3.0959183673469388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0.96086105675146771</v>
      </c>
      <c r="C14" s="1156">
        <f>IF(ISNUMBER(NºAsuntos!I14/NºAsuntos!G14),NºAsuntos!I14/NºAsuntos!G14," - ")</f>
        <v>2.511201629327902</v>
      </c>
      <c r="D14" s="1157">
        <f>IF(ISNUMBER('Resol  Asuntos'!D14/NºAsuntos!G14),'Resol  Asuntos'!D14/NºAsuntos!G14," - ")</f>
        <v>0.1955193482688391</v>
      </c>
      <c r="E14" s="1158">
        <f>IF(ISNUMBER((NºAsuntos!C14+NºAsuntos!E14)/NºAsuntos!G14),(NºAsuntos!C14+NºAsuntos!E14)/NºAsuntos!G14," - ")</f>
        <v>3.0916496945010183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1.0942408376963351</v>
      </c>
      <c r="C17" s="498">
        <f>IF(ISNUMBER(NºAsuntos!I17/NºAsuntos!G17),NºAsuntos!I17/NºAsuntos!G17," - ")</f>
        <v>0.88676236044657097</v>
      </c>
      <c r="D17" s="499">
        <f>IF(ISNUMBER('Resol  Asuntos'!D17/NºAsuntos!G17),'Resol  Asuntos'!D17/NºAsuntos!G17," - ")</f>
        <v>0.15629984051036683</v>
      </c>
      <c r="E17" s="500">
        <f>IF(ISNUMBER((NºAsuntos!C17+NºAsuntos!E17)/NºAsuntos!G17),(NºAsuntos!C17+NºAsuntos!E17)/NºAsuntos!G17," - ")</f>
        <v>1.9234449760765551</v>
      </c>
      <c r="G17" s="523"/>
    </row>
    <row r="18" spans="1:7">
      <c r="A18" s="450" t="str">
        <f>Datos!A18</f>
        <v>Jdos. Violencia contra la mujer</v>
      </c>
      <c r="B18" s="497">
        <f>IF(ISNUMBER(NºAsuntos!G18/NºAsuntos!E18),NºAsuntos!G18/NºAsuntos!E18," - ")</f>
        <v>0.55882352941176472</v>
      </c>
      <c r="C18" s="498">
        <f>IF(ISNUMBER(NºAsuntos!I18/NºAsuntos!G18),NºAsuntos!I18/NºAsuntos!G18," - ")</f>
        <v>1.1578947368421053</v>
      </c>
      <c r="D18" s="499">
        <f>IF(ISNUMBER('Resol  Asuntos'!D18/NºAsuntos!G18),'Resol  Asuntos'!D18/NºAsuntos!G18," - ")</f>
        <v>5.2631578947368418E-2</v>
      </c>
      <c r="E18" s="500">
        <f>IF(ISNUMBER((NºAsuntos!C18+NºAsuntos!E18)/NºAsuntos!G18),(NºAsuntos!C18+NºAsuntos!E18)/NºAsuntos!G18," - ")</f>
        <v>2.1578947368421053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1.0642504118616145</v>
      </c>
      <c r="C23" s="1156">
        <f>IF(ISNUMBER(NºAsuntos!I23/NºAsuntos!G23),NºAsuntos!I23/NºAsuntos!G23," - ")</f>
        <v>0.89473684210526316</v>
      </c>
      <c r="D23" s="1159">
        <f>IF(ISNUMBER('Resol  Asuntos'!D23/NºAsuntos!G23),'Resol  Asuntos'!D23/NºAsuntos!G23," - ")</f>
        <v>0.15325077399380804</v>
      </c>
      <c r="E23" s="1158">
        <f>IF(ISNUMBER((NºAsuntos!C23+NºAsuntos!E23)/NºAsuntos!G23),(NºAsuntos!C23+NºAsuntos!E23)/NºAsuntos!G23," - ")</f>
        <v>1.9303405572755419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1.016994633273703</v>
      </c>
      <c r="C31" s="1099">
        <f>IF(ISNUMBER(NºAsuntos!I31/NºAsuntos!G31),NºAsuntos!I31/NºAsuntos!G31," - ")</f>
        <v>1.5927880386983289</v>
      </c>
      <c r="D31" s="1100">
        <f>IF(ISNUMBER('Resol  Asuntos'!D31/NºAsuntos!G31),'Resol  Asuntos'!D31/NºAsuntos!G31," - ")</f>
        <v>0.17150395778364116</v>
      </c>
      <c r="E31" s="1101">
        <f>IF(ISNUMBER((NºAsuntos!C31+NºAsuntos!E31)/NºAsuntos!G31),(NºAsuntos!C31+NºAsuntos!E31)/NºAsuntos!G31," - ")</f>
        <v>2.4318381706244505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FX9LJyDVvRedf1bkmAl+BaNh+ikatf1V73+sdnIKDkYhaq+4Kf8xl3aij2AX0eQZ6HFx7ViU1T6U8UwQvtqlA==" saltValue="DSaTP4OduaqCTL/w6k/nU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RONDA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v>
      </c>
      <c r="AN10" s="267">
        <f>IF(ISNUMBER('Resol  Asuntos'!D10/NºAsuntos!G10),'Resol  Asuntos'!D10/NºAsuntos!G10," - ")</f>
        <v>0</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75</v>
      </c>
      <c r="Y12" s="374">
        <f t="shared" si="0"/>
        <v>75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1963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96</v>
      </c>
      <c r="AJ12" s="243" t="str">
        <f>IF(ISNUMBER(Datos!BW12),Datos!BW12," - ")</f>
        <v xml:space="preserve"> - </v>
      </c>
      <c r="AK12" s="242" t="str">
        <f>IF(ISNUMBER(Datos!BX12),Datos!BX12," - ")</f>
        <v xml:space="preserve"> - </v>
      </c>
      <c r="AL12" s="266">
        <f>IF(ISNUMBER(NºAsuntos!G12/NºAsuntos!E12),NºAsuntos!G12/NºAsuntos!E12," - ")</f>
        <v>0.96078431372549022</v>
      </c>
      <c r="AM12" s="284">
        <f>IF(ISNUMBER(((NºAsuntos!I12/NºAsuntos!G12)*11)/factor_trimestre),((NºAsuntos!I12/NºAsuntos!G12)*11)/factor_trimestre," - ")</f>
        <v>7.5489795918367353</v>
      </c>
      <c r="AN12" s="267">
        <f>IF(ISNUMBER('Resol  Asuntos'!D12/NºAsuntos!G12),'Resol  Asuntos'!D12/NºAsuntos!G12," - ")</f>
        <v>0.19591836734693877</v>
      </c>
      <c r="AO12" s="268">
        <f>IF(ISNUMBER((NºAsuntos!C12+NºAsuntos!E12)/NºAsuntos!G12),(NºAsuntos!C12+NºAsuntos!E12)/NºAsuntos!G12," - ")</f>
        <v>3.0959183673469388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0</v>
      </c>
      <c r="G14" s="1163">
        <f t="shared" si="5"/>
        <v>0</v>
      </c>
      <c r="H14" s="1162">
        <f t="shared" si="5"/>
        <v>0</v>
      </c>
      <c r="I14" s="1164">
        <f t="shared" si="5"/>
        <v>0</v>
      </c>
      <c r="J14" s="1164">
        <f t="shared" si="5"/>
        <v>0</v>
      </c>
      <c r="K14" s="1164">
        <f t="shared" si="5"/>
        <v>0</v>
      </c>
      <c r="L14" s="1164">
        <f t="shared" si="5"/>
        <v>155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75</v>
      </c>
      <c r="Y14" s="1165">
        <f t="shared" si="6"/>
        <v>76</v>
      </c>
      <c r="Z14" s="1165">
        <f t="shared" si="6"/>
        <v>0</v>
      </c>
      <c r="AA14" s="1165">
        <f t="shared" si="6"/>
        <v>0</v>
      </c>
      <c r="AB14" s="1165">
        <f t="shared" si="6"/>
        <v>1963</v>
      </c>
      <c r="AC14" s="1165">
        <f t="shared" si="6"/>
        <v>0</v>
      </c>
      <c r="AD14" s="1165">
        <f t="shared" si="6"/>
        <v>0</v>
      </c>
      <c r="AE14" s="1169">
        <f t="shared" si="6"/>
        <v>0</v>
      </c>
      <c r="AF14" s="1162">
        <f t="shared" si="6"/>
        <v>0</v>
      </c>
      <c r="AG14" s="1170">
        <f t="shared" si="6"/>
        <v>0</v>
      </c>
      <c r="AH14" s="1167">
        <f t="shared" si="6"/>
        <v>0</v>
      </c>
      <c r="AI14" s="1162">
        <f t="shared" si="6"/>
        <v>96</v>
      </c>
      <c r="AJ14" s="1164">
        <f t="shared" si="6"/>
        <v>0</v>
      </c>
      <c r="AK14" s="1167">
        <f>SUBTOTAL(9,AK9:AK13)</f>
        <v>0</v>
      </c>
      <c r="AL14" s="1171">
        <f>IF(ISNUMBER(NºAsuntos!G14/NºAsuntos!E14),NºAsuntos!G14/NºAsuntos!E14," - ")</f>
        <v>0.96086105675146771</v>
      </c>
      <c r="AM14" s="1171">
        <f>IF(ISNUMBER(((NºAsuntos!I14/NºAsuntos!G14)*11)/factor_trimestre),((NºAsuntos!I14/NºAsuntos!G14)*11)/factor_trimestre," - ")</f>
        <v>7.5336048879837065</v>
      </c>
      <c r="AN14" s="1172">
        <f>IF(ISNUMBER('Resol  Asuntos'!D14/NºAsuntos!G14),'Resol  Asuntos'!D14/NºAsuntos!G14," - ")</f>
        <v>0.1955193482688391</v>
      </c>
      <c r="AO14" s="1173">
        <f>IF(ISNUMBER((NºAsuntos!C14+NºAsuntos!E14)/NºAsuntos!G14),(NºAsuntos!C14+NºAsuntos!E14)/NºAsuntos!G14," - ")</f>
        <v>3.0916496945010183</v>
      </c>
      <c r="AP14" s="1174" t="str">
        <f t="shared" si="2"/>
        <v xml:space="preserve"> - </v>
      </c>
      <c r="AQ14" s="1174" t="str">
        <f>IF(ISNUMBER((H14-W14+K14)/(F14)),(H14-W14+K14)/(F14)," - ")</f>
        <v xml:space="preserve"> - </v>
      </c>
      <c r="AR14" s="1175">
        <f>IF(ISNUMBER((Datos!P14-Datos!Q14)/(Datos!R14-Datos!P14+Datos!Q14)),(Datos!P14-Datos!Q14)/(Datos!R14-Datos!P14+Datos!Q14)," - ")</f>
        <v>4.2485395645246948E-2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610</v>
      </c>
      <c r="G17" s="373">
        <f>IF(ISNUMBER(IF(D_I="SI",Datos!I17,Datos!I17+Datos!AC17)),IF(D_I="SI",Datos!I17,Datos!I17+Datos!AC17)," - ")</f>
        <v>633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627</v>
      </c>
      <c r="X17" s="240">
        <f>IF(ISNUMBER(Datos!Q17),Datos!Q17," - ")</f>
        <v>9</v>
      </c>
      <c r="Y17" s="374">
        <f t="shared" ref="Y17:Y22" si="9">SUM(W17:X17)</f>
        <v>636</v>
      </c>
      <c r="Z17" s="375" t="str">
        <f>IF(ISNUMBER(Datos!CC17),Datos!CC17," - ")</f>
        <v xml:space="preserve"> - </v>
      </c>
      <c r="AA17" s="372">
        <f>IF(ISNUMBER(IF(D_I="SI",Datos!L17,Datos!L17+Datos!AF17)),IF(D_I="SI",Datos!L17,Datos!L17+Datos!AF17)," - ")</f>
        <v>556</v>
      </c>
      <c r="AB17" s="374">
        <f>IF(ISNUMBER(Datos!R17),Datos!R17," - ")</f>
        <v>163</v>
      </c>
      <c r="AC17" s="374">
        <f t="shared" si="8"/>
        <v>719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98</v>
      </c>
      <c r="AJ17" s="245" t="str">
        <f>IF(ISNUMBER(Datos!BW17),Datos!BW17," - ")</f>
        <v xml:space="preserve"> - </v>
      </c>
      <c r="AK17" s="246" t="str">
        <f>IF(ISNUMBER(Datos!BX17),Datos!BX17," - ")</f>
        <v xml:space="preserve"> - </v>
      </c>
      <c r="AL17" s="266">
        <f>IF(ISNUMBER(NºAsuntos!G17/NºAsuntos!E17),NºAsuntos!G17/NºAsuntos!E17," - ")</f>
        <v>1.0942408376963351</v>
      </c>
      <c r="AM17" s="284">
        <f>IF(ISNUMBER(((NºAsuntos!I17/NºAsuntos!G17)*11)/factor_trimestre),((NºAsuntos!I17/NºAsuntos!G17)*11)/factor_trimestre," - ")</f>
        <v>2.660287081339713</v>
      </c>
      <c r="AN17" s="267">
        <f>IF(ISNUMBER('Resol  Asuntos'!D17/NºAsuntos!G17),'Resol  Asuntos'!D17/NºAsuntos!G17," - ")</f>
        <v>0.15629984051036683</v>
      </c>
      <c r="AO17" s="268">
        <f>IF(ISNUMBER((NºAsuntos!C17+NºAsuntos!E17)/NºAsuntos!G17),(NºAsuntos!C17+NºAsuntos!E17)/NºAsuntos!G17," - ")</f>
        <v>1.9234449760765551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v>
      </c>
      <c r="X18" s="240">
        <f>IF(ISNUMBER(Datos!Q18),Datos!Q18," - ")</f>
        <v>12</v>
      </c>
      <c r="Y18" s="374">
        <f t="shared" si="9"/>
        <v>31</v>
      </c>
      <c r="Z18" s="375" t="str">
        <f>IF(ISNUMBER(Datos!CC18),Datos!CC18," - ")</f>
        <v xml:space="preserve"> - </v>
      </c>
      <c r="AA18" s="372">
        <f>IF(ISNUMBER(Datos!L18),Datos!L18,"-")</f>
        <v>22</v>
      </c>
      <c r="AB18" s="374">
        <f>IF(ISNUMBER(Datos!R18),Datos!R18," - ")</f>
        <v>6</v>
      </c>
      <c r="AC18" s="374">
        <f t="shared" si="8"/>
        <v>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0.55882352941176472</v>
      </c>
      <c r="AM18" s="284">
        <f>IF(ISNUMBER(((NºAsuntos!I18/NºAsuntos!G18)*11)/factor_trimestre),((NºAsuntos!I18/NºAsuntos!G18)*11)/factor_trimestre," - ")</f>
        <v>3.4736842105263159</v>
      </c>
      <c r="AN18" s="267">
        <f>IF(ISNUMBER('Resol  Asuntos'!D18/NºAsuntos!G18),'Resol  Asuntos'!D18/NºAsuntos!G18," - ")</f>
        <v>5.2631578947368418E-2</v>
      </c>
      <c r="AO18" s="268">
        <f>IF(ISNUMBER((NºAsuntos!C18+NºAsuntos!E18)/NºAsuntos!G18),(NºAsuntos!C18+NºAsuntos!E18)/NºAsuntos!G18," - ")</f>
        <v>2.1578947368421053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610</v>
      </c>
      <c r="G23" s="1163">
        <f>SUBTOTAL(9,G16:G22)</f>
        <v>640</v>
      </c>
      <c r="H23" s="1162">
        <f t="shared" ref="H23:O23" si="13">SUBTOTAL(9,H15:H22)</f>
        <v>0</v>
      </c>
      <c r="I23" s="1164">
        <f t="shared" si="13"/>
        <v>0</v>
      </c>
      <c r="J23" s="1164">
        <f t="shared" si="13"/>
        <v>0</v>
      </c>
      <c r="K23" s="1164">
        <f t="shared" si="13"/>
        <v>0</v>
      </c>
      <c r="L23" s="1164">
        <f t="shared" si="13"/>
        <v>37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646</v>
      </c>
      <c r="X23" s="1164">
        <f t="shared" si="14"/>
        <v>21</v>
      </c>
      <c r="Y23" s="1165">
        <f t="shared" si="14"/>
        <v>667</v>
      </c>
      <c r="Z23" s="1165">
        <f t="shared" si="14"/>
        <v>0</v>
      </c>
      <c r="AA23" s="1165">
        <f t="shared" si="14"/>
        <v>578</v>
      </c>
      <c r="AB23" s="1165">
        <f t="shared" si="14"/>
        <v>169</v>
      </c>
      <c r="AC23" s="1165">
        <f t="shared" si="14"/>
        <v>747</v>
      </c>
      <c r="AD23" s="1165">
        <f t="shared" si="14"/>
        <v>0</v>
      </c>
      <c r="AE23" s="1169">
        <f t="shared" si="14"/>
        <v>0</v>
      </c>
      <c r="AF23" s="1162">
        <f t="shared" si="14"/>
        <v>0</v>
      </c>
      <c r="AG23" s="1170">
        <f t="shared" si="14"/>
        <v>0</v>
      </c>
      <c r="AH23" s="1167">
        <f t="shared" si="14"/>
        <v>0</v>
      </c>
      <c r="AI23" s="1162">
        <f t="shared" si="14"/>
        <v>99</v>
      </c>
      <c r="AJ23" s="1164">
        <f t="shared" si="14"/>
        <v>0</v>
      </c>
      <c r="AK23" s="1167">
        <f t="shared" si="14"/>
        <v>0</v>
      </c>
      <c r="AL23" s="1171">
        <f>IF(ISNUMBER(NºAsuntos!G23/NºAsuntos!E23),NºAsuntos!G23/NºAsuntos!E23," - ")</f>
        <v>1.0642504118616145</v>
      </c>
      <c r="AM23" s="1171">
        <f>IF(ISNUMBER(((NºAsuntos!I23/NºAsuntos!G23)*11)/factor_trimestre),((NºAsuntos!I23/NºAsuntos!G23)*11)/factor_trimestre," - ")</f>
        <v>2.6842105263157898</v>
      </c>
      <c r="AN23" s="1172">
        <f>IF(ISNUMBER('Resol  Asuntos'!D23/NºAsuntos!G23),'Resol  Asuntos'!D23/NºAsuntos!G23," - ")</f>
        <v>0.15325077399380804</v>
      </c>
      <c r="AO23" s="1173">
        <f>IF(ISNUMBER((NºAsuntos!C23+NºAsuntos!E23)/NºAsuntos!G23),(NºAsuntos!C23+NºAsuntos!E23)/NºAsuntos!G23," - ")</f>
        <v>1.9303405572755419</v>
      </c>
      <c r="AP23" s="1174" t="str">
        <f t="shared" si="2"/>
        <v xml:space="preserve"> - </v>
      </c>
      <c r="AQ23" s="1174">
        <f>IF(ISNUMBER((H23-W23+K23)/(F23)),(H23-W23+K23)/(F23)," - ")</f>
        <v>-1.0590163934426229</v>
      </c>
      <c r="AR23" s="1175">
        <f>IF(ISNUMBER((Datos!P23-Datos!Q23)/(Datos!R23-Datos!P23+Datos!Q23)),(Datos!P23-Datos!Q23)/(Datos!R23-Datos!P23+Datos!Q23)," - ")</f>
        <v>0.10457516339869281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610</v>
      </c>
      <c r="G31" s="1118">
        <f t="shared" si="20"/>
        <v>640</v>
      </c>
      <c r="H31" s="1117">
        <f t="shared" si="20"/>
        <v>0</v>
      </c>
      <c r="I31" s="1119">
        <f t="shared" si="20"/>
        <v>0</v>
      </c>
      <c r="J31" s="1119">
        <f t="shared" si="20"/>
        <v>0</v>
      </c>
      <c r="K31" s="1180">
        <f t="shared" si="20"/>
        <v>0</v>
      </c>
      <c r="L31" s="1119">
        <f t="shared" si="20"/>
        <v>192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647</v>
      </c>
      <c r="X31" s="1118">
        <f t="shared" si="21"/>
        <v>96</v>
      </c>
      <c r="Y31" s="1125">
        <f t="shared" si="21"/>
        <v>743</v>
      </c>
      <c r="Z31" s="1125">
        <f t="shared" si="21"/>
        <v>0</v>
      </c>
      <c r="AA31" s="1125">
        <f t="shared" si="21"/>
        <v>578</v>
      </c>
      <c r="AB31" s="1125">
        <f t="shared" si="21"/>
        <v>2132</v>
      </c>
      <c r="AC31" s="1125">
        <f t="shared" si="21"/>
        <v>747</v>
      </c>
      <c r="AD31" s="1125">
        <f t="shared" si="21"/>
        <v>0</v>
      </c>
      <c r="AE31" s="1127">
        <f t="shared" si="21"/>
        <v>0</v>
      </c>
      <c r="AF31" s="1128">
        <f t="shared" si="21"/>
        <v>0</v>
      </c>
      <c r="AG31" s="1129">
        <f t="shared" si="21"/>
        <v>0</v>
      </c>
      <c r="AH31" s="1127">
        <f t="shared" si="21"/>
        <v>0</v>
      </c>
      <c r="AI31" s="1117">
        <f t="shared" si="21"/>
        <v>195</v>
      </c>
      <c r="AJ31" s="1117">
        <f t="shared" si="21"/>
        <v>0</v>
      </c>
      <c r="AK31" s="1127">
        <f t="shared" si="21"/>
        <v>0</v>
      </c>
      <c r="AL31" s="1183">
        <f>IF(ISNUMBER(NºAsuntos!G31/NºAsuntos!E31),NºAsuntos!G31/NºAsuntos!E31," - ")</f>
        <v>1.016994633273703</v>
      </c>
      <c r="AM31" s="1184">
        <f>IF(ISNUMBER(((NºAsuntos!I31/NºAsuntos!G31)*11)/factor_trimestre),((NºAsuntos!I31/NºAsuntos!G31)*11)/factor_trimestre," - ")</f>
        <v>4.7783641160949868</v>
      </c>
      <c r="AN31" s="1184">
        <f>IF(ISNUMBER('Resol  Asuntos'!D31/NºAsuntos!G31),'Resol  Asuntos'!D31/NºAsuntos!G31," - ")</f>
        <v>0.17150395778364116</v>
      </c>
      <c r="AO31" s="1185">
        <f>IF(ISNUMBER((NºAsuntos!C31+NºAsuntos!E31)/NºAsuntos!G31),(NºAsuntos!C31+NºAsuntos!E31)/NºAsuntos!G31," - ")</f>
        <v>2.4318381706244505</v>
      </c>
      <c r="AP31" s="1186" t="str">
        <f t="shared" si="2"/>
        <v xml:space="preserve"> - </v>
      </c>
      <c r="AQ31" s="1187">
        <f>IF(OR(ISNUMBER(FIND("01",Criterios!A8,1)),ISNUMBER(FIND("02",Criterios!A8,1)),ISNUMBER(FIND("03",Criterios!A8,1)),ISNUMBER(FIND("04",Criterios!A8,1))),(I31-W31+K31)/(F31-K31),(H31-W31+K31)/(F31-K31))</f>
        <v>-1.0606557377049179</v>
      </c>
      <c r="AR31" s="1188">
        <f>IF(ISNUMBER((Datos!P31-Datos!Q31)/(Datos!R31-Datos!P31+Datos!Q31)),(Datos!P31-Datos!Q31)/(Datos!R31-Datos!P31+Datos!Q31)," - ")</f>
        <v>4.7151277013752456E-2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182.85714285714286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315.00264549153655</v>
      </c>
      <c r="G33" s="277">
        <f>IF(ISNUMBER(STDEV(G8:G30)),STDEV(G8:G30),"-")</f>
        <v>309.91419703493665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308.65375885795214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51.859012166229533</v>
      </c>
      <c r="AJ33" s="276">
        <f t="shared" si="25"/>
        <v>0</v>
      </c>
      <c r="AK33" s="278">
        <f t="shared" si="25"/>
        <v>0</v>
      </c>
      <c r="AL33" s="273">
        <f t="shared" si="25"/>
        <v>0.19441753715244695</v>
      </c>
      <c r="AM33" s="274">
        <f t="shared" si="25"/>
        <v>2.9961014462170681</v>
      </c>
      <c r="AN33" s="274">
        <f t="shared" si="25"/>
        <v>8.0796267195148472E-2</v>
      </c>
      <c r="AO33" s="275">
        <f t="shared" si="25"/>
        <v>0.79858381576128468</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kbPDgR//7zK0T6RSO1mORQNejr0uIYiRgc4cfFoOfsF4gmyH64f4GNt8nGFRfTrZqKsvdJ1diKaDIWuPhpYvJA==" saltValue="GaLYzWNDgV9pRIYBlKV5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RONDA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-0.5</v>
      </c>
      <c r="F10" s="393">
        <f>IF(ISNUMBER((Datos!K10-Datos!U10)/Datos!U10),(Datos!K10-Datos!U10)/Datos!U10," - ")</f>
        <v>-0.5</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-0.28358208955223879</v>
      </c>
      <c r="I12" s="395">
        <f>IF(ISNUMBER((Tasas!C12-Datos!BE12)/Datos!BE12),(Tasas!C12-Datos!BE12)/Datos!BE12," - ")</f>
        <v>0.39736430742509771</v>
      </c>
      <c r="J12" s="394">
        <f>IF(ISNUMBER((Tasas!D12-Datos!BF12)/Datos!BF12),(Tasas!D12-Datos!BF12)/Datos!BF12," - ")</f>
        <v>-0.53724258934342972</v>
      </c>
      <c r="K12" s="396">
        <f>IF(ISNUMBER((Tasas!E12-Datos!BG12)/Datos!BG12),(Tasas!E12-Datos!BG12)/Datos!BG12," - ")</f>
        <v>0.10538261816354447</v>
      </c>
      <c r="M12" t="e">
        <f>IF(Monitorios="SI",Datos!CE12,0)</f>
        <v>#REF!</v>
      </c>
      <c r="N12" t="e">
        <f>IF(Monitorios="SI",Datos!CF12,0)</f>
        <v>#REF!</v>
      </c>
      <c r="O12" t="e">
        <f>IF(Monitorios="SI",Datos!CG12,0)</f>
        <v>#REF!</v>
      </c>
      <c r="P12" t="e">
        <f>IF(Monitorios="SI",Datos!CH12,0)</f>
        <v>#REF!</v>
      </c>
      <c r="Q12">
        <f>IF(J_V="SI",0,Datos!AG12)</f>
        <v>54</v>
      </c>
      <c r="R12">
        <f>IF(J_V="SI",0,Datos!AH12)</f>
        <v>53</v>
      </c>
      <c r="S12">
        <f>IF(J_V="SI",0,Datos!AI12)</f>
        <v>42</v>
      </c>
      <c r="T12">
        <f>IF(J_V="SI",0,Datos!AJ12)</f>
        <v>65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-0.28358208955223879</v>
      </c>
      <c r="I14" s="402">
        <f>IF(ISNUMBER((Tasas!C14-Datos!BE14)/Datos!BE14),(Tasas!C14-Datos!BE14)/Datos!BE14," - ")</f>
        <v>0.39986133379555389</v>
      </c>
      <c r="J14" s="400">
        <f>IF(ISNUMBER((Tasas!D14-Datos!BF14)/Datos!BF14),(Tasas!D14-Datos!BF14)/Datos!BF14," - ")</f>
        <v>-0.53641566292818244</v>
      </c>
      <c r="K14" s="403">
        <f>IF(ISNUMBER((Tasas!E14-Datos!BG14)/Datos!BG14),(Tasas!E14-Datos!BG14)/Datos!BG14," - ")</f>
        <v>0.10657407098260493</v>
      </c>
      <c r="M14" t="e">
        <f>IF(Monitorios="SI",Datos!CE14,0)</f>
        <v>#REF!</v>
      </c>
      <c r="N14" t="e">
        <f>IF(Monitorios="SI",Datos!CF14,0)</f>
        <v>#REF!</v>
      </c>
      <c r="O14" t="e">
        <f>IF(Monitorios="SI",Datos!CG14,0)</f>
        <v>#REF!</v>
      </c>
      <c r="P14" t="e">
        <f>IF(Monitorios="SI",Datos!CH14,0)</f>
        <v>#REF!</v>
      </c>
      <c r="Q14">
        <f>IF(J_V="SI",0,Datos!AG14)</f>
        <v>54</v>
      </c>
      <c r="R14">
        <f>IF(J_V="SI",0,Datos!AH14)</f>
        <v>53</v>
      </c>
      <c r="S14">
        <f>IF(J_V="SI",0,Datos!AI14)</f>
        <v>42</v>
      </c>
      <c r="T14">
        <f>IF(J_V="SI",0,Datos!AJ14)</f>
        <v>65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-5.0974512743628186E-2</v>
      </c>
      <c r="E17" s="393">
        <f>IF(ISNUMBER(
   IF(D_I="SI",(Datos!J17-Datos!T17)/Datos!T17,(Datos!J17+Datos!AD17-(Datos!T17+Datos!AL17))/(Datos!T17+Datos!AL17))
     ),IF(D_I="SI",(Datos!J17-Datos!T17)/Datos!T17,(Datos!J17+Datos!AD17-(Datos!T17+Datos!AL17))/(Datos!T17+Datos!AL17))," - ")</f>
        <v>-5.7565789473684209E-2</v>
      </c>
      <c r="F17" s="393">
        <f>IF(ISNUMBER(
   IF(D_I="SI",(Datos!K17-Datos!U17)/Datos!U17,(Datos!K17+Datos!AE17-(Datos!U17+Datos!AM17))/(Datos!U17+Datos!AM17))
     ),IF(D_I="SI",(Datos!K17-Datos!U17)/Datos!U17,(Datos!K17+Datos!AE17-(Datos!U17+Datos!AM17))/(Datos!U17+Datos!AM17))," - ")</f>
        <v>1.4563106796116505E-2</v>
      </c>
      <c r="G17" s="394">
        <f>IF(ISNUMBER(
   IF(D_I="SI",(Datos!L17-Datos!V17)/Datos!V17,(Datos!L17+Datos!AF17-(Datos!V17+Datos!AN17))/(Datos!V17+Datos!AN17))
     ),IF(D_I="SI",(Datos!L17-Datos!V17)/Datos!V17,(Datos!L17+Datos!AF17-(Datos!V17+Datos!AN17))/(Datos!V17+Datos!AN17))," - ")</f>
        <v>-0.15372907153729071</v>
      </c>
      <c r="H17" s="244">
        <f>IF(ISNUMBER((Datos!M17-Datos!W17)/Datos!W17),(Datos!M17-Datos!W17)/Datos!W17," - ")</f>
        <v>0.11363636363636363</v>
      </c>
      <c r="I17" s="395">
        <f>IF(ISNUMBER((Tasas!C17-Datos!BE17)/Datos!BE17),(Tasas!C17-Datos!BE17)/Datos!BE17," - ")</f>
        <v>-0.1658765011324492</v>
      </c>
      <c r="J17" s="394">
        <f>IF(ISNUMBER((Tasas!D17-Datos!BF17)/Datos!BF17),(Tasas!D17-Datos!BF17)/Datos!BF17," - ")</f>
        <v>9.7651152675076125E-2</v>
      </c>
      <c r="K17" s="396">
        <f>IF(ISNUMBER((Tasas!E17-Datos!BG17)/Datos!BG17),(Tasas!E17-Datos!BG17)/Datos!BG17," - ")</f>
        <v>-6.7694905713481635E-2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0.75</v>
      </c>
      <c r="E18" s="393">
        <f>IF(ISNUMBER(
   IF(D_I="SI",(Datos!J18-Datos!T18)/Datos!T18,(Datos!J18+Datos!AD18-(Datos!T18+Datos!AL18))/(Datos!T18+Datos!AL18))
     ),IF(D_I="SI",(Datos!J18-Datos!T18)/Datos!T18,(Datos!J18+Datos!AD18-(Datos!T18+Datos!AL18))/(Datos!T18+Datos!AL18))," - ")</f>
        <v>-0.24444444444444444</v>
      </c>
      <c r="F18" s="393">
        <f>IF(ISNUMBER(
   IF(D_I="SI",(Datos!K18-Datos!U18)/Datos!U18,(Datos!K18+Datos!AE18-(Datos!U18+Datos!AM18))/(Datos!U18+Datos!AM18))
     ),IF(D_I="SI",(Datos!K18-Datos!U18)/Datos!U18,(Datos!K18+Datos!AE18-(Datos!U18+Datos!AM18))/(Datos!U18+Datos!AM18))," - ")</f>
        <v>-0.54761904761904767</v>
      </c>
      <c r="G18" s="394">
        <f>IF(ISNUMBER(
   IF(D_I="SI",(Datos!L18-Datos!V18)/Datos!V18,(Datos!L18+Datos!AF18-(Datos!V18+Datos!AN18))/(Datos!V18+Datos!AN18))
     ),IF(D_I="SI",(Datos!L18-Datos!V18)/Datos!V18,(Datos!L18+Datos!AF18-(Datos!V18+Datos!AN18))/(Datos!V18+Datos!AN18))," - ")</f>
        <v>2.1428571428571428</v>
      </c>
      <c r="H18" s="244">
        <f>IF(ISNUMBER((Datos!M18-Datos!W18)/Datos!W18),(Datos!M18-Datos!W18)/Datos!W18," - ")</f>
        <v>-0.66666666666666663</v>
      </c>
      <c r="I18" s="395">
        <f>IF(ISNUMBER((Tasas!C18-Datos!BE18)/Datos!BE18),(Tasas!C18-Datos!BE18)/Datos!BE18," - ")</f>
        <v>5.9473684210526327</v>
      </c>
      <c r="J18" s="394">
        <f>IF(ISNUMBER((Tasas!D18-Datos!BF18)/Datos!BF18),(Tasas!D18-Datos!BF18)/Datos!BF18," - ")</f>
        <v>-0.26315789473684209</v>
      </c>
      <c r="K18" s="396">
        <f>IF(ISNUMBER((Tasas!E18-Datos!BG18)/Datos!BG18),(Tasas!E18-Datos!BG18)/Datos!BG18," - ")</f>
        <v>0.84962406015037584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-4.6199701937406856E-2</v>
      </c>
      <c r="E23" s="399">
        <f>IF(ISNUMBER(
   IF(D_I="SI",(Datos!J23-Datos!T23)/Datos!T23,(Datos!J23+Datos!AD23-(Datos!T23+Datos!AL23))/(Datos!T23+Datos!AL23))
     ),IF(D_I="SI",(Datos!J23-Datos!T23)/Datos!T23,(Datos!J23+Datos!AD23-(Datos!T23+Datos!AL23))/(Datos!T23+Datos!AL23))," - ")</f>
        <v>-7.0444104134762639E-2</v>
      </c>
      <c r="F23" s="399">
        <f>IF(ISNUMBER(
   IF(D_I="SI",(Datos!K23-Datos!U23)/Datos!U23,(Datos!K23+Datos!AE23-(Datos!U23+Datos!AM23))/(Datos!U23+Datos!AM23))
     ),IF(D_I="SI",(Datos!K23-Datos!U23)/Datos!U23,(Datos!K23+Datos!AE23-(Datos!U23+Datos!AM23))/(Datos!U23+Datos!AM23))," - ")</f>
        <v>-2.1212121212121213E-2</v>
      </c>
      <c r="G23" s="400">
        <f>IF(ISNUMBER(
   IF(D_I="SI",(Datos!L23-Datos!V23)/Datos!V23,(Datos!L23+Datos!AF23-(Datos!V23+Datos!AN23))/(Datos!V23+Datos!AN23))
     ),IF(D_I="SI",(Datos!L23-Datos!V23)/Datos!V23,(Datos!L23+Datos!AF23-(Datos!V23+Datos!AN23))/(Datos!V23+Datos!AN23))," - ")</f>
        <v>-0.12951807228915663</v>
      </c>
      <c r="H23" s="401">
        <f>IF(ISNUMBER((Datos!M23-Datos!W23)/Datos!W23),(Datos!M23-Datos!W23)/Datos!W23," - ")</f>
        <v>8.7912087912087919E-2</v>
      </c>
      <c r="I23" s="402">
        <f>IF(ISNUMBER((Tasas!C23-Datos!BE23)/Datos!BE23),(Tasas!C23-Datos!BE23)/Datos!BE23," - ")</f>
        <v>-0.11065313887127461</v>
      </c>
      <c r="J23" s="400">
        <f>IF(ISNUMBER((Tasas!D23-Datos!BF23)/Datos!BF23),(Tasas!D23-Datos!BF23)/Datos!BF23," - ")</f>
        <v>0.11148913006498141</v>
      </c>
      <c r="K23" s="403">
        <f>IF(ISNUMBER((Tasas!E23-Datos!BG23)/Datos!BG23),(Tasas!E23-Datos!BG23)/Datos!BG23," - ")</f>
        <v>-3.7745643654185985E-2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-6.6344993968636915E-3</v>
      </c>
      <c r="E31" s="409">
        <f>IF(ISNUMBER(
   IF(J_V="SI",(Datos!J31-Datos!T31)/Datos!T31,(Datos!J31+Datos!Z31-(Datos!T31+Datos!AH31))/(Datos!T31+Datos!AH31))
     ),IF(J_V="SI",(Datos!J31-Datos!T31)/Datos!T31,(Datos!J31+Datos!Z31-(Datos!T31+Datos!AH31))/(Datos!T31+Datos!AH31))," - ")</f>
        <v>-1.0619469026548672E-2</v>
      </c>
      <c r="F31" s="409">
        <f>IF(ISNUMBER(
   IF(J_V="SI",(Datos!K31-Datos!U31)/Datos!U31,(Datos!K31+Datos!AA31-(Datos!U31+Datos!AI31))/(Datos!U31+Datos!AI31))
     ),IF(J_V="SI",(Datos!K31-Datos!U31)/Datos!U31,(Datos!K31+Datos!AA31-(Datos!U31+Datos!AI31))/(Datos!U31+Datos!AI31))," - ")</f>
        <v>-3.9695945945945943E-2</v>
      </c>
      <c r="G31" s="410">
        <f>IF(ISNUMBER(
   IF(J_V="SI",(Datos!L31-Datos!V31)/Datos!V31,(Datos!L31+Datos!AB31-(Datos!V31+Datos!AJ31))/(Datos!V31+Datos!AJ31))
     ),IF(J_V="SI",(Datos!L31-Datos!V31)/Datos!V31,(Datos!L31+Datos!AB31-(Datos!V31+Datos!AJ31))/(Datos!V31+Datos!AJ31))," - ")</f>
        <v>0.12905236907730674</v>
      </c>
      <c r="H31" s="411">
        <f>IF(ISNUMBER((Datos!M31-Datos!W31)/Datos!W31),(Datos!M31-Datos!W31)/Datos!W31," - ")</f>
        <v>-0.13333333333333333</v>
      </c>
      <c r="I31" s="408">
        <f>IF(ISNUMBER((Tasas!C31-Datos!BE31)/Datos!BE31),(Tasas!C31-Datos!BE31)/Datos!BE31," - ")</f>
        <v>0.17572383903916536</v>
      </c>
      <c r="J31" s="409">
        <f>IF(ISNUMBER((Tasas!D31-Datos!BF31)/Datos!BF31),(Tasas!D31-Datos!BF31)/Datos!BF31," - ")</f>
        <v>-0.34916446789797706</v>
      </c>
      <c r="K31" s="410">
        <f>IF(ISNUMBER((Tasas!E31-Datos!BG31)/Datos!BG31),(Tasas!E31-Datos!BG31)/Datos!BG31," - ")</f>
        <v>3.274619584625154E-2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0.46107066238056965</v>
      </c>
      <c r="E33" s="303">
        <f t="shared" si="1"/>
        <v>0.20634528938004512</v>
      </c>
      <c r="F33" s="303">
        <f t="shared" si="1"/>
        <v>0.30148431292759909</v>
      </c>
      <c r="G33" s="304">
        <f t="shared" si="1"/>
        <v>1.319001107596347</v>
      </c>
      <c r="H33" s="310">
        <f t="shared" si="1"/>
        <v>0.32124850876354427</v>
      </c>
      <c r="I33" s="302">
        <f t="shared" si="1"/>
        <v>2.6154142249105794</v>
      </c>
      <c r="J33" s="303">
        <f t="shared" si="1"/>
        <v>0.3214259026479368</v>
      </c>
      <c r="K33" s="304">
        <f t="shared" si="1"/>
        <v>0.34582208121835661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hG8WMeP/98/qaiWiBdPlrfvrLLBsay/kKLeQyVA0VddBl6lFJL1D4+9gUJsI/OoChvtS58Wg3T6DIRwjaEByg==" saltValue="y43WRqmXZTXRNqGMfFtbS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